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.bin" ContentType="application/vnd.openxmlformats-officedocument.oleObject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colemar.semob\Google Drive\SECRETARIA DE OBRAS - REDENÇÃO\OBRA - FEIRA COBERTA\6. MEDIÇÃO 06 - FEIRA\"/>
    </mc:Choice>
  </mc:AlternateContent>
  <xr:revisionPtr revIDLastSave="0" documentId="13_ncr:1_{917A12FA-FE91-492A-BA8F-88D4037E2AA8}" xr6:coauthVersionLast="45" xr6:coauthVersionMax="45" xr10:uidLastSave="{00000000-0000-0000-0000-000000000000}"/>
  <bookViews>
    <workbookView xWindow="-120" yWindow="-120" windowWidth="20730" windowHeight="11160" tabRatio="664" firstSheet="2" activeTab="7" xr2:uid="{00000000-000D-0000-FFFF-FFFF00000000}"/>
  </bookViews>
  <sheets>
    <sheet name="ALTERAÇÃO" sheetId="2" r:id="rId1"/>
    <sheet name="COMPOSIÇÃO" sheetId="10" state="hidden" r:id="rId2"/>
    <sheet name="MEMORIA " sheetId="3" r:id="rId3"/>
    <sheet name="PLANILHA FINAL" sheetId="5" r:id="rId4"/>
    <sheet name="CRONOGRAMA" sheetId="7" r:id="rId5"/>
    <sheet name="QCI - OBSOLETO" sheetId="6" r:id="rId6"/>
    <sheet name="MEDIÇÃO BM06" sheetId="11" r:id="rId7"/>
    <sheet name="METAS BM05" sheetId="12" r:id="rId8"/>
    <sheet name="COMP-EXCLUI" sheetId="4" state="hidden" r:id="rId9"/>
  </sheets>
  <externalReferences>
    <externalReference r:id="rId10"/>
  </externalReferences>
  <definedNames>
    <definedName name="_xlnm.Print_Area" localSheetId="0">ALTERAÇÃO!$A$1:$P$109</definedName>
    <definedName name="_xlnm.Print_Area" localSheetId="8">'COMP-EXCLUI'!$A$1:$H$15</definedName>
    <definedName name="_xlnm.Print_Area" localSheetId="4">CRONOGRAMA!$A$1:$G$54</definedName>
    <definedName name="_xlnm.Print_Area" localSheetId="6">'MEDIÇÃO BM06'!$A$1:$N$117</definedName>
    <definedName name="_xlnm.Print_Area" localSheetId="2">'MEMORIA '!$A$1:$K$87</definedName>
    <definedName name="_xlnm.Print_Area" localSheetId="7">'METAS BM05'!$A$1:$D$27</definedName>
    <definedName name="_xlnm.Print_Area" localSheetId="3">'PLANILHA FINAL'!$A$1:$H$110</definedName>
    <definedName name="_xlnm.Print_Area" localSheetId="5">'QCI - OBSOLETO'!$A$1:$Z$41</definedName>
    <definedName name="_xlnm.Print_Titles" localSheetId="0">ALTERAÇÃO!$1:$18</definedName>
    <definedName name="_xlnm.Print_Titles" localSheetId="6">'MEDIÇÃO BM06'!$1:$15</definedName>
    <definedName name="_xlnm.Print_Titles" localSheetId="2">'MEMORIA '!$1:$12</definedName>
  </definedNames>
  <calcPr calcId="191029"/>
</workbook>
</file>

<file path=xl/calcChain.xml><?xml version="1.0" encoding="utf-8"?>
<calcChain xmlns="http://schemas.openxmlformats.org/spreadsheetml/2006/main">
  <c r="I18" i="12" l="1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10" i="12"/>
  <c r="F25" i="12"/>
  <c r="E25" i="12"/>
  <c r="D20" i="12"/>
  <c r="C20" i="12"/>
  <c r="Q109" i="11"/>
  <c r="Q106" i="11"/>
  <c r="Q107" i="11" s="1"/>
  <c r="O85" i="11"/>
  <c r="O84" i="11"/>
  <c r="O82" i="11"/>
  <c r="O75" i="11"/>
  <c r="Q76" i="11"/>
  <c r="Q71" i="11"/>
  <c r="Q67" i="11"/>
  <c r="Q62" i="11"/>
  <c r="Q54" i="11"/>
  <c r="Q35" i="11"/>
  <c r="Q25" i="11"/>
  <c r="Q22" i="11"/>
  <c r="Q19" i="11"/>
  <c r="Q79" i="11"/>
  <c r="Q86" i="11"/>
  <c r="Q92" i="11"/>
  <c r="Q98" i="11"/>
  <c r="N89" i="11"/>
  <c r="N90" i="11"/>
  <c r="N91" i="11"/>
  <c r="N88" i="11"/>
  <c r="N92" i="11"/>
  <c r="N86" i="11"/>
  <c r="N82" i="11"/>
  <c r="N76" i="11"/>
  <c r="N75" i="11"/>
  <c r="N73" i="11"/>
  <c r="N29" i="11"/>
  <c r="N30" i="11"/>
  <c r="N34" i="11"/>
  <c r="N31" i="11"/>
  <c r="N32" i="11"/>
  <c r="N33" i="11"/>
  <c r="M107" i="11"/>
  <c r="N85" i="11"/>
  <c r="N84" i="11"/>
  <c r="O73" i="11"/>
  <c r="N71" i="11"/>
  <c r="J82" i="11"/>
  <c r="N98" i="11"/>
  <c r="N97" i="11"/>
  <c r="N96" i="11"/>
  <c r="N95" i="11"/>
  <c r="N74" i="11"/>
  <c r="N70" i="11"/>
  <c r="N69" i="11"/>
  <c r="N67" i="11"/>
  <c r="N65" i="11"/>
  <c r="N66" i="11"/>
  <c r="N64" i="11"/>
  <c r="N62" i="11"/>
  <c r="N59" i="11"/>
  <c r="N60" i="11"/>
  <c r="N61" i="11"/>
  <c r="N58" i="11"/>
  <c r="J73" i="11"/>
  <c r="N54" i="11"/>
  <c r="N50" i="11"/>
  <c r="N51" i="11"/>
  <c r="N52" i="11"/>
  <c r="N53" i="11"/>
  <c r="N49" i="11"/>
  <c r="N48" i="11"/>
  <c r="N35" i="11"/>
  <c r="G25" i="12" l="1"/>
  <c r="C6" i="12"/>
  <c r="C5" i="12"/>
  <c r="C4" i="12"/>
  <c r="D18" i="12" l="1"/>
  <c r="N83" i="11" l="1"/>
  <c r="N81" i="11"/>
  <c r="N78" i="11"/>
  <c r="N57" i="11"/>
  <c r="N56" i="11"/>
  <c r="N38" i="11"/>
  <c r="N39" i="11"/>
  <c r="N40" i="11"/>
  <c r="N41" i="11"/>
  <c r="N42" i="11"/>
  <c r="N43" i="11"/>
  <c r="N44" i="11"/>
  <c r="N45" i="11"/>
  <c r="N46" i="11"/>
  <c r="N47" i="11"/>
  <c r="N37" i="11"/>
  <c r="N28" i="11"/>
  <c r="N27" i="11"/>
  <c r="N24" i="11"/>
  <c r="N21" i="11"/>
  <c r="N18" i="11"/>
  <c r="N17" i="11"/>
  <c r="G73" i="11"/>
  <c r="G95" i="11" l="1"/>
  <c r="G90" i="11"/>
  <c r="G89" i="11"/>
  <c r="G74" i="11"/>
  <c r="G29" i="11" l="1"/>
  <c r="G30" i="11"/>
  <c r="G66" i="11"/>
  <c r="G65" i="11"/>
  <c r="G64" i="11"/>
  <c r="G70" i="11"/>
  <c r="G69" i="11"/>
  <c r="H104" i="11"/>
  <c r="H101" i="11"/>
  <c r="H98" i="11"/>
  <c r="H79" i="11"/>
  <c r="H62" i="11"/>
  <c r="H54" i="11"/>
  <c r="H25" i="11"/>
  <c r="N25" i="11" s="1"/>
  <c r="H22" i="11"/>
  <c r="H19" i="11"/>
  <c r="G82" i="11"/>
  <c r="G75" i="11"/>
  <c r="M82" i="11"/>
  <c r="M83" i="11"/>
  <c r="M84" i="11"/>
  <c r="M85" i="11"/>
  <c r="M81" i="11"/>
  <c r="M74" i="11"/>
  <c r="M75" i="11"/>
  <c r="M73" i="11"/>
  <c r="M65" i="11"/>
  <c r="M64" i="11"/>
  <c r="M67" i="11" s="1"/>
  <c r="M57" i="11"/>
  <c r="M58" i="11"/>
  <c r="M59" i="11"/>
  <c r="M60" i="11"/>
  <c r="M61" i="11"/>
  <c r="M56" i="11"/>
  <c r="M28" i="11"/>
  <c r="M29" i="11"/>
  <c r="M30" i="11"/>
  <c r="M31" i="11"/>
  <c r="M32" i="11"/>
  <c r="M33" i="11"/>
  <c r="M34" i="11"/>
  <c r="M2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37" i="11"/>
  <c r="M90" i="11"/>
  <c r="M91" i="11"/>
  <c r="M89" i="11"/>
  <c r="M88" i="11"/>
  <c r="L98" i="11"/>
  <c r="L62" i="11"/>
  <c r="L54" i="11"/>
  <c r="J103" i="11"/>
  <c r="J100" i="11"/>
  <c r="J95" i="11"/>
  <c r="J96" i="11"/>
  <c r="J97" i="11"/>
  <c r="J94" i="11"/>
  <c r="N94" i="11" s="1"/>
  <c r="J89" i="11"/>
  <c r="J90" i="11"/>
  <c r="J91" i="11"/>
  <c r="J88" i="11"/>
  <c r="J83" i="11"/>
  <c r="J81" i="11"/>
  <c r="J78" i="11"/>
  <c r="J74" i="11"/>
  <c r="J70" i="11"/>
  <c r="J69" i="11"/>
  <c r="J65" i="11"/>
  <c r="J66" i="11"/>
  <c r="J64" i="11"/>
  <c r="J57" i="11"/>
  <c r="J58" i="11"/>
  <c r="J59" i="11"/>
  <c r="J60" i="11"/>
  <c r="J61" i="11"/>
  <c r="J56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37" i="11"/>
  <c r="J28" i="11"/>
  <c r="J29" i="11"/>
  <c r="J30" i="11"/>
  <c r="J31" i="11"/>
  <c r="J32" i="11"/>
  <c r="J33" i="11"/>
  <c r="J34" i="11"/>
  <c r="J27" i="11"/>
  <c r="J21" i="11"/>
  <c r="J18" i="11"/>
  <c r="J17" i="11"/>
  <c r="I19" i="11"/>
  <c r="I22" i="11"/>
  <c r="K22" i="11" s="1"/>
  <c r="I25" i="11"/>
  <c r="I35" i="11"/>
  <c r="K35" i="11" s="1"/>
  <c r="I54" i="11"/>
  <c r="I62" i="11"/>
  <c r="K62" i="11" s="1"/>
  <c r="I67" i="11"/>
  <c r="K67" i="11" s="1"/>
  <c r="I71" i="11"/>
  <c r="I76" i="11"/>
  <c r="K76" i="11" s="1"/>
  <c r="I79" i="11"/>
  <c r="I86" i="11"/>
  <c r="K86" i="11" s="1"/>
  <c r="F98" i="11"/>
  <c r="F86" i="11"/>
  <c r="F62" i="11"/>
  <c r="F54" i="11"/>
  <c r="F35" i="11"/>
  <c r="C21" i="11"/>
  <c r="C24" i="11"/>
  <c r="I104" i="11"/>
  <c r="K104" i="11" s="1"/>
  <c r="F104" i="11"/>
  <c r="L104" i="11"/>
  <c r="B103" i="11"/>
  <c r="A103" i="11"/>
  <c r="B102" i="11"/>
  <c r="A102" i="11"/>
  <c r="I101" i="11"/>
  <c r="K101" i="11" s="1"/>
  <c r="F101" i="11"/>
  <c r="L101" i="11"/>
  <c r="B100" i="11"/>
  <c r="A100" i="11"/>
  <c r="B99" i="11"/>
  <c r="A99" i="11"/>
  <c r="I98" i="11"/>
  <c r="K98" i="11" s="1"/>
  <c r="M95" i="11"/>
  <c r="B95" i="11"/>
  <c r="B94" i="11"/>
  <c r="B93" i="11"/>
  <c r="A93" i="11"/>
  <c r="I92" i="11"/>
  <c r="K92" i="11" s="1"/>
  <c r="F92" i="11"/>
  <c r="B91" i="11"/>
  <c r="A91" i="11"/>
  <c r="B90" i="11"/>
  <c r="A90" i="11"/>
  <c r="B89" i="11"/>
  <c r="A89" i="11"/>
  <c r="B88" i="11"/>
  <c r="A88" i="11"/>
  <c r="B87" i="11"/>
  <c r="A87" i="11"/>
  <c r="B83" i="11"/>
  <c r="B82" i="11"/>
  <c r="B81" i="11"/>
  <c r="B80" i="11"/>
  <c r="A80" i="11"/>
  <c r="M79" i="11"/>
  <c r="L79" i="11"/>
  <c r="J79" i="11"/>
  <c r="K79" i="11"/>
  <c r="F79" i="11"/>
  <c r="N79" i="11" s="1"/>
  <c r="B78" i="11"/>
  <c r="A78" i="11"/>
  <c r="B77" i="11"/>
  <c r="A77" i="11"/>
  <c r="F76" i="11"/>
  <c r="B75" i="11"/>
  <c r="A75" i="11"/>
  <c r="B74" i="11"/>
  <c r="A74" i="11"/>
  <c r="B73" i="11"/>
  <c r="A73" i="11"/>
  <c r="B72" i="11"/>
  <c r="A72" i="11"/>
  <c r="M71" i="11"/>
  <c r="L71" i="11"/>
  <c r="K71" i="11"/>
  <c r="F71" i="11"/>
  <c r="B70" i="11"/>
  <c r="A70" i="11"/>
  <c r="B69" i="11"/>
  <c r="A69" i="11"/>
  <c r="B68" i="11"/>
  <c r="A68" i="11"/>
  <c r="L67" i="11"/>
  <c r="F67" i="11"/>
  <c r="B66" i="11"/>
  <c r="A66" i="11"/>
  <c r="B65" i="11"/>
  <c r="A65" i="11"/>
  <c r="B64" i="11"/>
  <c r="A64" i="11"/>
  <c r="B63" i="11"/>
  <c r="A63" i="11"/>
  <c r="B57" i="11"/>
  <c r="B56" i="11"/>
  <c r="B55" i="11"/>
  <c r="A55" i="11"/>
  <c r="K54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A36" i="11"/>
  <c r="B33" i="11"/>
  <c r="B32" i="11"/>
  <c r="B31" i="11"/>
  <c r="B30" i="11"/>
  <c r="B29" i="11"/>
  <c r="B28" i="11"/>
  <c r="B27" i="11"/>
  <c r="B26" i="11"/>
  <c r="A26" i="11"/>
  <c r="L25" i="11"/>
  <c r="K25" i="11"/>
  <c r="F25" i="11"/>
  <c r="J25" i="11"/>
  <c r="B24" i="11"/>
  <c r="A24" i="11"/>
  <c r="B23" i="11"/>
  <c r="M22" i="11"/>
  <c r="J22" i="11"/>
  <c r="F22" i="11"/>
  <c r="N22" i="11" s="1"/>
  <c r="L22" i="11"/>
  <c r="B21" i="11"/>
  <c r="A21" i="11"/>
  <c r="B20" i="11"/>
  <c r="A20" i="11"/>
  <c r="M19" i="11"/>
  <c r="K19" i="11"/>
  <c r="F19" i="11"/>
  <c r="B18" i="11"/>
  <c r="B17" i="11"/>
  <c r="B16" i="11"/>
  <c r="A16" i="11"/>
  <c r="J104" i="11" l="1"/>
  <c r="N103" i="11"/>
  <c r="J101" i="11"/>
  <c r="N100" i="11"/>
  <c r="M86" i="11"/>
  <c r="F106" i="11"/>
  <c r="J67" i="11"/>
  <c r="J71" i="11"/>
  <c r="J98" i="11"/>
  <c r="M92" i="11"/>
  <c r="M54" i="11"/>
  <c r="M35" i="11"/>
  <c r="J35" i="11"/>
  <c r="J54" i="11"/>
  <c r="N101" i="11"/>
  <c r="J62" i="11"/>
  <c r="N104" i="11"/>
  <c r="O62" i="11"/>
  <c r="J19" i="11"/>
  <c r="M76" i="11"/>
  <c r="H92" i="11"/>
  <c r="H35" i="11"/>
  <c r="H67" i="11"/>
  <c r="H71" i="11"/>
  <c r="H76" i="11"/>
  <c r="H86" i="11"/>
  <c r="N19" i="11"/>
  <c r="L86" i="11"/>
  <c r="J92" i="11"/>
  <c r="J86" i="11"/>
  <c r="J76" i="11"/>
  <c r="C18" i="12" s="1"/>
  <c r="O67" i="11"/>
  <c r="L35" i="11"/>
  <c r="O101" i="11"/>
  <c r="M24" i="11"/>
  <c r="M25" i="11" s="1"/>
  <c r="O54" i="11"/>
  <c r="M100" i="11"/>
  <c r="M101" i="11" s="1"/>
  <c r="O22" i="11"/>
  <c r="L92" i="11"/>
  <c r="O92" i="11" s="1"/>
  <c r="O25" i="11"/>
  <c r="O35" i="11"/>
  <c r="O71" i="11"/>
  <c r="O98" i="11"/>
  <c r="O104" i="11"/>
  <c r="O79" i="11"/>
  <c r="L19" i="11"/>
  <c r="O19" i="11" s="1"/>
  <c r="M103" i="11"/>
  <c r="M104" i="11" s="1"/>
  <c r="M94" i="11"/>
  <c r="M98" i="11" s="1"/>
  <c r="L76" i="11"/>
  <c r="O86" i="11" l="1"/>
  <c r="O76" i="11"/>
  <c r="G106" i="11"/>
  <c r="I106" i="11"/>
  <c r="G116" i="11" s="1"/>
  <c r="K116" i="11" s="1"/>
  <c r="M106" i="11"/>
  <c r="K106" i="11"/>
  <c r="J119" i="11" l="1"/>
  <c r="K119" i="11" s="1"/>
  <c r="J107" i="11"/>
  <c r="C25" i="12"/>
  <c r="I107" i="11"/>
  <c r="G107" i="11"/>
  <c r="J125" i="11"/>
  <c r="H107" i="11"/>
  <c r="L107" i="11"/>
  <c r="K107" i="11"/>
  <c r="X29" i="6" l="1"/>
  <c r="X28" i="6"/>
  <c r="X27" i="6"/>
  <c r="X26" i="6"/>
  <c r="X25" i="6"/>
  <c r="X24" i="6"/>
  <c r="X23" i="6"/>
  <c r="X22" i="6"/>
  <c r="X21" i="6"/>
  <c r="X20" i="6"/>
  <c r="X19" i="6"/>
  <c r="X18" i="6"/>
  <c r="X17" i="6"/>
  <c r="X16" i="6"/>
  <c r="X15" i="6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19" i="5"/>
  <c r="Q20" i="2"/>
  <c r="Q21" i="2"/>
  <c r="Q23" i="2"/>
  <c r="Q25" i="2"/>
  <c r="Q27" i="2"/>
  <c r="Q28" i="2"/>
  <c r="Q29" i="2"/>
  <c r="Q30" i="2"/>
  <c r="Q31" i="2"/>
  <c r="Q32" i="2"/>
  <c r="Q33" i="2"/>
  <c r="Q34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4" i="2"/>
  <c r="Q55" i="2"/>
  <c r="Q56" i="2"/>
  <c r="Q57" i="2"/>
  <c r="Q58" i="2"/>
  <c r="Q59" i="2"/>
  <c r="Q61" i="2"/>
  <c r="Q62" i="2"/>
  <c r="Q63" i="2"/>
  <c r="Q65" i="2"/>
  <c r="Q66" i="2"/>
  <c r="Q68" i="2"/>
  <c r="Q69" i="2"/>
  <c r="Q70" i="2"/>
  <c r="Q72" i="2"/>
  <c r="Q74" i="2"/>
  <c r="Q75" i="2"/>
  <c r="Q76" i="2"/>
  <c r="Q77" i="2"/>
  <c r="Q78" i="2"/>
  <c r="Q80" i="2"/>
  <c r="Q81" i="2"/>
  <c r="Q82" i="2"/>
  <c r="Q83" i="2"/>
  <c r="Q85" i="2"/>
  <c r="Q86" i="2"/>
  <c r="Q87" i="2"/>
  <c r="Q88" i="2"/>
  <c r="Q89" i="2"/>
  <c r="Q90" i="2"/>
  <c r="Q91" i="2"/>
  <c r="Q92" i="2"/>
  <c r="J94" i="2"/>
  <c r="H94" i="2"/>
  <c r="G134" i="2" l="1"/>
  <c r="M78" i="2"/>
  <c r="F20" i="3"/>
  <c r="M77" i="2" l="1"/>
  <c r="F83" i="3"/>
  <c r="F82" i="3"/>
  <c r="F73" i="3"/>
  <c r="M66" i="2"/>
  <c r="M58" i="2"/>
  <c r="H94" i="5" l="1"/>
  <c r="F31" i="10"/>
  <c r="F19" i="10"/>
  <c r="F6" i="10"/>
  <c r="D39" i="10"/>
  <c r="D38" i="10"/>
  <c r="D37" i="10"/>
  <c r="F15" i="10"/>
  <c r="F14" i="10"/>
  <c r="F13" i="10"/>
  <c r="F12" i="10"/>
  <c r="F11" i="10" l="1"/>
  <c r="N82" i="2" l="1"/>
  <c r="N81" i="2"/>
  <c r="O88" i="2"/>
  <c r="O87" i="2"/>
  <c r="O78" i="2"/>
  <c r="G30" i="7" l="1"/>
  <c r="F30" i="7"/>
  <c r="E30" i="7"/>
  <c r="D30" i="7"/>
  <c r="F28" i="7"/>
  <c r="G26" i="7"/>
  <c r="F26" i="7"/>
  <c r="F22" i="7"/>
  <c r="E22" i="7"/>
  <c r="F20" i="7"/>
  <c r="E20" i="7"/>
  <c r="D16" i="7"/>
  <c r="G36" i="7"/>
  <c r="G34" i="7"/>
  <c r="F32" i="7"/>
  <c r="F24" i="7"/>
  <c r="F18" i="7"/>
  <c r="E32" i="7"/>
  <c r="E24" i="7"/>
  <c r="E18" i="7"/>
  <c r="D12" i="7"/>
  <c r="D10" i="7"/>
  <c r="C136" i="5" l="1"/>
  <c r="H112" i="5" s="1"/>
  <c r="D126" i="5"/>
  <c r="C15" i="7" l="1"/>
  <c r="F15" i="7" s="1"/>
  <c r="G15" i="7" l="1"/>
  <c r="D15" i="7"/>
  <c r="E15" i="7"/>
  <c r="C117" i="3"/>
  <c r="F87" i="3"/>
  <c r="F86" i="3" s="1"/>
  <c r="F85" i="3"/>
  <c r="F84" i="3" s="1"/>
  <c r="F81" i="3"/>
  <c r="F80" i="3"/>
  <c r="F78" i="3"/>
  <c r="F77" i="3"/>
  <c r="F76" i="3"/>
  <c r="F75" i="3"/>
  <c r="F71" i="3"/>
  <c r="F70" i="3"/>
  <c r="F69" i="3"/>
  <c r="F67" i="3"/>
  <c r="F66" i="3" s="1"/>
  <c r="F65" i="3"/>
  <c r="F64" i="3"/>
  <c r="F63" i="3"/>
  <c r="F61" i="3"/>
  <c r="F60" i="3"/>
  <c r="F58" i="3"/>
  <c r="F57" i="3"/>
  <c r="F56" i="3"/>
  <c r="F50" i="3"/>
  <c r="F49" i="3"/>
  <c r="F42" i="3"/>
  <c r="F41" i="3"/>
  <c r="F40" i="3"/>
  <c r="F39" i="3"/>
  <c r="F38" i="3"/>
  <c r="F37" i="3"/>
  <c r="F36" i="3"/>
  <c r="F35" i="3"/>
  <c r="F34" i="3"/>
  <c r="F33" i="3"/>
  <c r="F32" i="3"/>
  <c r="F31" i="3"/>
  <c r="F28" i="3"/>
  <c r="F27" i="3"/>
  <c r="F26" i="3"/>
  <c r="F25" i="3"/>
  <c r="F24" i="3"/>
  <c r="F23" i="3"/>
  <c r="F22" i="3"/>
  <c r="F19" i="3"/>
  <c r="F18" i="3"/>
  <c r="F17" i="3" s="1"/>
  <c r="F16" i="3"/>
  <c r="F15" i="3"/>
  <c r="O52" i="2"/>
  <c r="O51" i="2"/>
  <c r="O50" i="2"/>
  <c r="O49" i="2"/>
  <c r="O29" i="2"/>
  <c r="N91" i="2"/>
  <c r="N89" i="2"/>
  <c r="N79" i="2"/>
  <c r="N71" i="2"/>
  <c r="N24" i="2"/>
  <c r="N19" i="2"/>
  <c r="L91" i="2"/>
  <c r="L89" i="2"/>
  <c r="L84" i="2"/>
  <c r="L79" i="2"/>
  <c r="L73" i="2"/>
  <c r="L71" i="2"/>
  <c r="L67" i="2"/>
  <c r="L64" i="2"/>
  <c r="L60" i="2"/>
  <c r="L53" i="2"/>
  <c r="L35" i="2"/>
  <c r="L26" i="2"/>
  <c r="L19" i="2"/>
  <c r="L24" i="2"/>
  <c r="F59" i="3" l="1"/>
  <c r="P29" i="2"/>
  <c r="F79" i="3"/>
  <c r="E45" i="3"/>
  <c r="F45" i="3" s="1"/>
  <c r="E54" i="3"/>
  <c r="F54" i="3" s="1"/>
  <c r="F55" i="3"/>
  <c r="E44" i="3"/>
  <c r="F44" i="3" s="1"/>
  <c r="E51" i="3"/>
  <c r="F51" i="3" s="1"/>
  <c r="F74" i="3"/>
  <c r="E29" i="3"/>
  <c r="F29" i="3" s="1"/>
  <c r="F21" i="3" s="1"/>
  <c r="E46" i="3"/>
  <c r="F46" i="3" s="1"/>
  <c r="E52" i="3"/>
  <c r="F52" i="3" s="1"/>
  <c r="E72" i="3"/>
  <c r="F72" i="3" s="1"/>
  <c r="F68" i="3" s="1"/>
  <c r="F62" i="3"/>
  <c r="E43" i="3"/>
  <c r="F43" i="3" s="1"/>
  <c r="E47" i="3"/>
  <c r="F47" i="3" s="1"/>
  <c r="E53" i="3"/>
  <c r="F53" i="3" s="1"/>
  <c r="F14" i="3"/>
  <c r="O48" i="2"/>
  <c r="F48" i="3" l="1"/>
  <c r="F30" i="3"/>
  <c r="O77" i="2"/>
  <c r="M65" i="2"/>
  <c r="M30" i="2" s="1"/>
  <c r="G38" i="7" l="1"/>
  <c r="O76" i="2" l="1"/>
  <c r="O75" i="2"/>
  <c r="O74" i="2"/>
  <c r="O72" i="2"/>
  <c r="P72" i="2" s="1"/>
  <c r="O70" i="2"/>
  <c r="O69" i="2"/>
  <c r="P69" i="2" s="1"/>
  <c r="O68" i="2"/>
  <c r="P68" i="2" s="1"/>
  <c r="O66" i="2"/>
  <c r="O65" i="2"/>
  <c r="P65" i="2" s="1"/>
  <c r="O63" i="2"/>
  <c r="P63" i="2" s="1"/>
  <c r="O62" i="2"/>
  <c r="P62" i="2" s="1"/>
  <c r="O61" i="2"/>
  <c r="O59" i="2"/>
  <c r="O58" i="2"/>
  <c r="O57" i="2"/>
  <c r="O56" i="2"/>
  <c r="O55" i="2"/>
  <c r="O54" i="2"/>
  <c r="O47" i="2"/>
  <c r="O46" i="2"/>
  <c r="O45" i="2"/>
  <c r="O44" i="2"/>
  <c r="O43" i="2"/>
  <c r="O42" i="2"/>
  <c r="O41" i="2"/>
  <c r="O40" i="2"/>
  <c r="O39" i="2"/>
  <c r="O38" i="2"/>
  <c r="O37" i="2"/>
  <c r="O36" i="2"/>
  <c r="O34" i="2"/>
  <c r="O33" i="2"/>
  <c r="O32" i="2"/>
  <c r="O31" i="2"/>
  <c r="O30" i="2"/>
  <c r="P30" i="2" s="1"/>
  <c r="O28" i="2"/>
  <c r="O27" i="2"/>
  <c r="O23" i="2"/>
  <c r="O21" i="2"/>
  <c r="N75" i="2"/>
  <c r="O25" i="2"/>
  <c r="I25" i="2"/>
  <c r="H89" i="2"/>
  <c r="H91" i="2"/>
  <c r="P61" i="2" l="1"/>
  <c r="P74" i="2"/>
  <c r="P75" i="2"/>
  <c r="P66" i="2"/>
  <c r="P70" i="2"/>
  <c r="P76" i="2"/>
  <c r="C13" i="7"/>
  <c r="D13" i="7" s="1"/>
  <c r="P71" i="2"/>
  <c r="C29" i="7"/>
  <c r="F29" i="7" s="1"/>
  <c r="C25" i="7"/>
  <c r="H67" i="2"/>
  <c r="P60" i="2"/>
  <c r="C23" i="7" l="1"/>
  <c r="F23" i="7" s="1"/>
  <c r="C21" i="7"/>
  <c r="F21" i="7" s="1"/>
  <c r="C17" i="7"/>
  <c r="D17" i="7" s="1"/>
  <c r="C19" i="7"/>
  <c r="F25" i="7"/>
  <c r="E25" i="7"/>
  <c r="C27" i="7"/>
  <c r="I34" i="2"/>
  <c r="H71" i="2"/>
  <c r="H60" i="2"/>
  <c r="H55" i="2"/>
  <c r="H54" i="2"/>
  <c r="H45" i="2"/>
  <c r="H46" i="2"/>
  <c r="H47" i="2"/>
  <c r="H37" i="2"/>
  <c r="H38" i="2"/>
  <c r="H39" i="2"/>
  <c r="H40" i="2"/>
  <c r="H41" i="2"/>
  <c r="H42" i="2"/>
  <c r="H43" i="2"/>
  <c r="H44" i="2"/>
  <c r="H36" i="2"/>
  <c r="H28" i="2"/>
  <c r="H29" i="2"/>
  <c r="H30" i="2"/>
  <c r="H31" i="2"/>
  <c r="H32" i="2"/>
  <c r="H33" i="2"/>
  <c r="H27" i="2"/>
  <c r="E23" i="7" l="1"/>
  <c r="E21" i="7"/>
  <c r="H84" i="2"/>
  <c r="H79" i="2"/>
  <c r="G27" i="7"/>
  <c r="F27" i="7"/>
  <c r="F19" i="7"/>
  <c r="E19" i="7"/>
  <c r="H64" i="2"/>
  <c r="D134" i="2" l="1"/>
  <c r="N29" i="2"/>
  <c r="E39" i="10" l="1"/>
  <c r="F39" i="10" s="1"/>
  <c r="E37" i="10"/>
  <c r="F37" i="10" s="1"/>
  <c r="E38" i="10"/>
  <c r="F38" i="10" s="1"/>
  <c r="G88" i="2"/>
  <c r="G87" i="2"/>
  <c r="G78" i="2"/>
  <c r="G50" i="2"/>
  <c r="G49" i="2"/>
  <c r="G77" i="2"/>
  <c r="G52" i="2"/>
  <c r="G51" i="2"/>
  <c r="G48" i="2"/>
  <c r="G34" i="2"/>
  <c r="G56" i="2"/>
  <c r="G59" i="2"/>
  <c r="G58" i="2"/>
  <c r="G57" i="2"/>
  <c r="N68" i="2"/>
  <c r="H48" i="2" l="1"/>
  <c r="H51" i="2"/>
  <c r="H49" i="2"/>
  <c r="P78" i="2"/>
  <c r="F36" i="10"/>
  <c r="P77" i="2"/>
  <c r="H50" i="2"/>
  <c r="P87" i="2"/>
  <c r="H52" i="2"/>
  <c r="P88" i="2"/>
  <c r="N87" i="2"/>
  <c r="C31" i="7"/>
  <c r="N78" i="2"/>
  <c r="H78" i="2"/>
  <c r="N88" i="2"/>
  <c r="N50" i="2"/>
  <c r="P50" i="2"/>
  <c r="P48" i="2"/>
  <c r="N48" i="2"/>
  <c r="H77" i="2"/>
  <c r="N77" i="2"/>
  <c r="N51" i="2"/>
  <c r="P51" i="2"/>
  <c r="N49" i="2"/>
  <c r="P49" i="2"/>
  <c r="N52" i="2"/>
  <c r="P52" i="2"/>
  <c r="P59" i="2"/>
  <c r="H59" i="2"/>
  <c r="P56" i="2"/>
  <c r="H56" i="2"/>
  <c r="P57" i="2"/>
  <c r="H57" i="2"/>
  <c r="P58" i="2"/>
  <c r="H58" i="2"/>
  <c r="P34" i="2"/>
  <c r="N34" i="2"/>
  <c r="H34" i="2"/>
  <c r="H26" i="2" l="1"/>
  <c r="H73" i="2"/>
  <c r="N73" i="2"/>
  <c r="H35" i="2"/>
  <c r="P26" i="2"/>
  <c r="P73" i="2"/>
  <c r="E31" i="7"/>
  <c r="F31" i="7"/>
  <c r="D31" i="7"/>
  <c r="G31" i="7"/>
  <c r="P35" i="2"/>
  <c r="N35" i="2"/>
  <c r="H53" i="2"/>
  <c r="P53" i="2"/>
  <c r="O92" i="2"/>
  <c r="P92" i="2" s="1"/>
  <c r="O90" i="2"/>
  <c r="P90" i="2" s="1"/>
  <c r="O86" i="2"/>
  <c r="P86" i="2" s="1"/>
  <c r="O85" i="2"/>
  <c r="P85" i="2" s="1"/>
  <c r="O83" i="2"/>
  <c r="P83" i="2" s="1"/>
  <c r="O82" i="2"/>
  <c r="P82" i="2" s="1"/>
  <c r="O81" i="2"/>
  <c r="P81" i="2" s="1"/>
  <c r="O80" i="2"/>
  <c r="P80" i="2" s="1"/>
  <c r="P64" i="2"/>
  <c r="O20" i="2"/>
  <c r="N86" i="2"/>
  <c r="N84" i="2" s="1"/>
  <c r="N69" i="2"/>
  <c r="N70" i="2"/>
  <c r="N66" i="2"/>
  <c r="N65" i="2"/>
  <c r="N63" i="2"/>
  <c r="N62" i="2"/>
  <c r="N61" i="2"/>
  <c r="N59" i="2"/>
  <c r="N58" i="2"/>
  <c r="N57" i="2"/>
  <c r="N30" i="2"/>
  <c r="N26" i="2" s="1"/>
  <c r="N64" i="2" l="1"/>
  <c r="P84" i="2"/>
  <c r="P89" i="2"/>
  <c r="C37" i="7"/>
  <c r="G37" i="7" s="1"/>
  <c r="N67" i="2"/>
  <c r="P91" i="2"/>
  <c r="C39" i="7"/>
  <c r="N60" i="2"/>
  <c r="C35" i="7" l="1"/>
  <c r="G35" i="7" s="1"/>
  <c r="P79" i="2"/>
  <c r="C33" i="7"/>
  <c r="C11" i="7"/>
  <c r="D11" i="7" s="1"/>
  <c r="D42" i="7" s="1"/>
  <c r="S30" i="6"/>
  <c r="P30" i="6"/>
  <c r="O30" i="6"/>
  <c r="U18" i="6"/>
  <c r="U21" i="6"/>
  <c r="U26" i="6"/>
  <c r="U27" i="6"/>
  <c r="T6" i="6"/>
  <c r="A6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G39" i="7"/>
  <c r="G42" i="7" l="1"/>
  <c r="F33" i="7"/>
  <c r="F42" i="7" s="1"/>
  <c r="E33" i="7"/>
  <c r="E42" i="7" s="1"/>
  <c r="U25" i="6"/>
  <c r="U29" i="6"/>
  <c r="U23" i="6"/>
  <c r="U28" i="6"/>
  <c r="U20" i="6"/>
  <c r="C43" i="7"/>
  <c r="I43" i="7" l="1"/>
  <c r="D41" i="7" s="1"/>
  <c r="D43" i="7" s="1"/>
  <c r="G97" i="5"/>
  <c r="D44" i="7"/>
  <c r="E44" i="7" s="1"/>
  <c r="F41" i="7" l="1"/>
  <c r="E41" i="7"/>
  <c r="G41" i="7"/>
  <c r="E43" i="7"/>
  <c r="F44" i="7"/>
  <c r="F43" i="7" s="1"/>
  <c r="G44" i="7" l="1"/>
  <c r="G43" i="7" l="1"/>
  <c r="I44" i="7"/>
  <c r="N22" i="2"/>
  <c r="N56" i="2" l="1"/>
  <c r="N53" i="2" s="1"/>
  <c r="N94" i="2" s="1"/>
  <c r="P67" i="2"/>
  <c r="P24" i="2"/>
  <c r="P22" i="2"/>
  <c r="P19" i="2"/>
  <c r="L22" i="2"/>
  <c r="L94" i="2" s="1"/>
  <c r="H24" i="2"/>
  <c r="H22" i="2"/>
  <c r="U16" i="6" l="1"/>
  <c r="U17" i="6"/>
  <c r="P94" i="2"/>
  <c r="U22" i="6"/>
  <c r="O97" i="2"/>
  <c r="H19" i="2"/>
  <c r="U24" i="6"/>
  <c r="U19" i="6"/>
  <c r="Q94" i="2" l="1"/>
  <c r="O96" i="2"/>
  <c r="Q96" i="2" s="1"/>
  <c r="N13" i="6"/>
  <c r="Q99" i="2" l="1"/>
  <c r="P97" i="2"/>
  <c r="O98" i="2"/>
  <c r="H41" i="4" l="1"/>
  <c r="H40" i="4"/>
  <c r="U15" i="6" l="1"/>
  <c r="U30" i="6" s="1"/>
  <c r="X30" i="6"/>
  <c r="H42" i="4"/>
  <c r="N10" i="4" s="1"/>
  <c r="H13" i="4"/>
  <c r="H12" i="4"/>
  <c r="H11" i="4"/>
  <c r="H10" i="4"/>
  <c r="Q17" i="6" l="1"/>
  <c r="W17" i="6" s="1"/>
  <c r="Q25" i="6"/>
  <c r="W25" i="6" s="1"/>
  <c r="Q29" i="6"/>
  <c r="W29" i="6" s="1"/>
  <c r="Q24" i="6"/>
  <c r="W24" i="6" s="1"/>
  <c r="Q18" i="6"/>
  <c r="W18" i="6" s="1"/>
  <c r="Q26" i="6"/>
  <c r="W26" i="6" s="1"/>
  <c r="Q16" i="6"/>
  <c r="W16" i="6" s="1"/>
  <c r="Q19" i="6"/>
  <c r="W19" i="6" s="1"/>
  <c r="Q27" i="6"/>
  <c r="W27" i="6" s="1"/>
  <c r="Q21" i="6"/>
  <c r="Q20" i="6"/>
  <c r="W20" i="6" s="1"/>
  <c r="Q28" i="6"/>
  <c r="W28" i="6" s="1"/>
  <c r="Q22" i="6"/>
  <c r="W22" i="6" s="1"/>
  <c r="Q30" i="6"/>
  <c r="W30" i="6" s="1"/>
  <c r="Q23" i="6"/>
  <c r="W23" i="6" s="1"/>
  <c r="Q15" i="6"/>
  <c r="V30" i="6"/>
  <c r="W21" i="6"/>
  <c r="H14" i="4"/>
  <c r="C144" i="2" l="1"/>
  <c r="H120" i="2" l="1"/>
  <c r="N15" i="6" l="1"/>
  <c r="N19" i="6" l="1"/>
  <c r="T19" i="6"/>
  <c r="R19" i="6" s="1"/>
  <c r="T18" i="6"/>
  <c r="R18" i="6" s="1"/>
  <c r="N18" i="6"/>
  <c r="T29" i="6"/>
  <c r="R29" i="6" s="1"/>
  <c r="N29" i="6"/>
  <c r="T24" i="6"/>
  <c r="R24" i="6" s="1"/>
  <c r="N24" i="6"/>
  <c r="T16" i="6"/>
  <c r="R16" i="6" s="1"/>
  <c r="N16" i="6"/>
  <c r="T28" i="6"/>
  <c r="R28" i="6" s="1"/>
  <c r="N28" i="6"/>
  <c r="T25" i="6"/>
  <c r="R25" i="6" s="1"/>
  <c r="N25" i="6"/>
  <c r="T26" i="6"/>
  <c r="R26" i="6" s="1"/>
  <c r="N26" i="6"/>
  <c r="N20" i="6"/>
  <c r="T20" i="6"/>
  <c r="R20" i="6" s="1"/>
  <c r="T21" i="6"/>
  <c r="R21" i="6" s="1"/>
  <c r="N21" i="6"/>
  <c r="T23" i="6"/>
  <c r="R23" i="6" s="1"/>
  <c r="N23" i="6"/>
  <c r="T22" i="6"/>
  <c r="R22" i="6" s="1"/>
  <c r="N22" i="6"/>
  <c r="N27" i="6"/>
  <c r="T27" i="6"/>
  <c r="R27" i="6" s="1"/>
  <c r="T17" i="6"/>
  <c r="R17" i="6" s="1"/>
  <c r="N17" i="6"/>
  <c r="T15" i="6"/>
  <c r="R15" i="6" s="1"/>
  <c r="W15" i="6"/>
  <c r="N30" i="6" l="1"/>
  <c r="R30" i="6"/>
  <c r="T30" i="6" s="1"/>
  <c r="P98" i="2" l="1"/>
  <c r="O99" i="2" l="1"/>
  <c r="G102" i="2" s="1"/>
  <c r="Q97" i="2" s="1"/>
  <c r="P122" i="2" l="1"/>
  <c r="P123" i="2" s="1"/>
  <c r="P99" i="2"/>
  <c r="R46" i="6"/>
</calcChain>
</file>

<file path=xl/sharedStrings.xml><?xml version="1.0" encoding="utf-8"?>
<sst xmlns="http://schemas.openxmlformats.org/spreadsheetml/2006/main" count="1427" uniqueCount="520">
  <si>
    <t>DESCRIÇÃO</t>
  </si>
  <si>
    <t>1</t>
  </si>
  <si>
    <t>MOBILIZAÇÃO/DESMOBILIZAÇÃO</t>
  </si>
  <si>
    <t>1.1</t>
  </si>
  <si>
    <t>1.2</t>
  </si>
  <si>
    <t>2</t>
  </si>
  <si>
    <t>2.1</t>
  </si>
  <si>
    <t>3</t>
  </si>
  <si>
    <t>ADMINISTRAÇÃO LOCAL</t>
  </si>
  <si>
    <t>3.1</t>
  </si>
  <si>
    <t>%</t>
  </si>
  <si>
    <t>4</t>
  </si>
  <si>
    <t>4.1</t>
  </si>
  <si>
    <t>5</t>
  </si>
  <si>
    <t>5.1</t>
  </si>
  <si>
    <t>5.2</t>
  </si>
  <si>
    <t>5.3</t>
  </si>
  <si>
    <t>5.4</t>
  </si>
  <si>
    <t>6</t>
  </si>
  <si>
    <t>6.1</t>
  </si>
  <si>
    <t>6.2</t>
  </si>
  <si>
    <t>6.3</t>
  </si>
  <si>
    <t>7</t>
  </si>
  <si>
    <t>7.1</t>
  </si>
  <si>
    <t>7.2</t>
  </si>
  <si>
    <t>7.3</t>
  </si>
  <si>
    <t>QUANT.</t>
  </si>
  <si>
    <t>ESTADO DO PARÁ</t>
  </si>
  <si>
    <t>PREFEITURA MUNICIPAL DE REDENÇÃO</t>
  </si>
  <si>
    <t>SECRETARIA DE OBRAS, TRANSPORTES E URBANISMO</t>
  </si>
  <si>
    <t>CONTRATADO:</t>
  </si>
  <si>
    <t>SERVIÇO:</t>
  </si>
  <si>
    <t>LETRA VERMELHA</t>
  </si>
  <si>
    <t>ITEM TOTALMENTE SUPRIMIDO</t>
  </si>
  <si>
    <t>CONTRATO:</t>
  </si>
  <si>
    <t>LETRA AZUL</t>
  </si>
  <si>
    <t>ITEM NOVO</t>
  </si>
  <si>
    <t>PROCESSO LICITATÓRIO:</t>
  </si>
  <si>
    <t>ITEM PARCIALMENTE SUPRIMIDO</t>
  </si>
  <si>
    <t>MODALIDADE:</t>
  </si>
  <si>
    <t>ITEM PARCIALMENTE ADITADO</t>
  </si>
  <si>
    <t>SUPRESSÃO</t>
  </si>
  <si>
    <t>ACRÉSCIMO</t>
  </si>
  <si>
    <t>TOTAL APÓS ADITIVO</t>
  </si>
  <si>
    <t>ORDEM</t>
  </si>
  <si>
    <t>UNIDADE</t>
  </si>
  <si>
    <t>CUSTO TOTAL C/BDI (R$)</t>
  </si>
  <si>
    <t>CUSTO TOTAL C/ BDI (R$)</t>
  </si>
  <si>
    <t>(%) = 1,22 %</t>
  </si>
  <si>
    <t xml:space="preserve">Valor para acréscimo= BDI contratado - (%) desconto </t>
  </si>
  <si>
    <t>29% - 1,22%</t>
  </si>
  <si>
    <t>COD</t>
  </si>
  <si>
    <t>CPU 04</t>
  </si>
  <si>
    <t>COMPOSIÇÕES DE PREÇO UNITÁRIO</t>
  </si>
  <si>
    <t>DESCRIÇÃO DO SERVIÇO OU FORNECIMENTO</t>
  </si>
  <si>
    <t>COMPOSIÇÃO</t>
  </si>
  <si>
    <t>COD.</t>
  </si>
  <si>
    <t>COEF.</t>
  </si>
  <si>
    <t>VALOR UNITÁRIO</t>
  </si>
  <si>
    <t>SUB-TOTAL</t>
  </si>
  <si>
    <t>TOTAL</t>
  </si>
  <si>
    <t>MARTELETE OU ROMPEDOR PNEUMÁTICO MANUAL, 28 KG, COM SILENCIADOR - CHP DIURNO. AF_07/2016</t>
  </si>
  <si>
    <t>MARTELETE OU ROMPEDOR PNEUMÁTICO MANUAL, 28 KG, COM SILENCIADOR - CHI DIURNO. AF_07/2016</t>
  </si>
  <si>
    <t>PEDREIRO COM ENCARGOS COMPLEMENTARES</t>
  </si>
  <si>
    <t>SERVENTE COM ENCARGOS COMPLEMENTARES</t>
  </si>
  <si>
    <t>5795</t>
  </si>
  <si>
    <t>5952</t>
  </si>
  <si>
    <t>88309</t>
  </si>
  <si>
    <t>88316</t>
  </si>
  <si>
    <t>COMPOSICAO</t>
  </si>
  <si>
    <t>CHP</t>
  </si>
  <si>
    <t>CHI</t>
  </si>
  <si>
    <t>H</t>
  </si>
  <si>
    <t>M3</t>
  </si>
  <si>
    <t>1,5562000</t>
  </si>
  <si>
    <t>0,4411000</t>
  </si>
  <si>
    <t>0,3051000</t>
  </si>
  <si>
    <t>3,1530000</t>
  </si>
  <si>
    <t>DEMOLIÇÃO DE CONCRETO SIMPLES (CALÇADAS) COM MARTELETE SEM REAPROVEITAMENTO</t>
  </si>
  <si>
    <t>CPU 005</t>
  </si>
  <si>
    <t>EXECUÇÃO DE ESCRITÓRIO EM CANTEIRO DE OBRA EM CHAPA DE MADEIRA COMPENSADA, NÃO INCLUSO MOBILIÁRIO E EQUIPAMENTOS. AF_02/2016</t>
  </si>
  <si>
    <t>ADMINISTRAÇÃO DE OBRA</t>
  </si>
  <si>
    <t>PEDREGULHO OU PICARRA DE JAZIDA, AO NATURAL, PARA BASE DE PAVIMENTACAO (RETIRADO NA JAZIDA, SEM TRANSPORTE)</t>
  </si>
  <si>
    <t>74151/001</t>
  </si>
  <si>
    <t>ESCAVACAO E CARGA MATERIAL 1A CATEGORIA, UTILIZANDO TRATOR DE ESTEIRAS DE 110 A 160HP COM LAMINA, PESO OPERACIONAL * 13T E PA CARREGADEIRA COM 170 HP (JAZIDA)</t>
  </si>
  <si>
    <t>INSUMO</t>
  </si>
  <si>
    <t>COTAÇÃO</t>
  </si>
  <si>
    <t>PEDREGULHO OU PICARRA DE JAZIDA, AO NATURAL, PARA BASE DE PAVIMENTACAO (RETIRADO NA JAZIDA, SEM TRANSPORTE) INCLUSIVE ESCAVAÇÃO E CARGA</t>
  </si>
  <si>
    <t>CPU 006</t>
  </si>
  <si>
    <t>ASSINATURA</t>
  </si>
  <si>
    <t xml:space="preserve"> FISCALIZAÇÃO</t>
  </si>
  <si>
    <t>SECRETARIA DE OBRAS</t>
  </si>
  <si>
    <t>CONTRATADO</t>
  </si>
  <si>
    <t>_________________________________</t>
  </si>
  <si>
    <t>____________________________________</t>
  </si>
  <si>
    <t>ALISSON ROCHA LIMA</t>
  </si>
  <si>
    <t>DORVALINO ROCHA DA SILVA</t>
  </si>
  <si>
    <t>Secretário Municipal de Obras</t>
  </si>
  <si>
    <t>Engenheiro Civil - CREA 151156983-2</t>
  </si>
  <si>
    <t>SECRETARIA MUNICIPAL DE OBRAS</t>
  </si>
  <si>
    <t>LEMES E LEMES CONSTRUTORA LTDA - EPP</t>
  </si>
  <si>
    <t>CNPJ: 7.990.417/0001-04</t>
  </si>
  <si>
    <t>Marco Aurélio P. Lemes - Sócio Diretor</t>
  </si>
  <si>
    <t>FISCALIZAÇÃO</t>
  </si>
  <si>
    <t xml:space="preserve">FISCAL DO CONTRATO </t>
  </si>
  <si>
    <t>CONTRATADO (Empresa)</t>
  </si>
  <si>
    <t>CUSTO UNITÁRIO S/ BDI ($)</t>
  </si>
  <si>
    <t>CUSTO UNITÁRIO C/ BDI E FATOR DE DESCONTO($)</t>
  </si>
  <si>
    <t xml:space="preserve">VALOR DO CONTRATO ORIGINAL </t>
  </si>
  <si>
    <t>TOTAL DA PLANILHA (APÓS ADITIVO/SUPRESSÃO)</t>
  </si>
  <si>
    <t>PLANILHA DE ALTERAÇÃO CONTRATUAL (ACRÉSCIMO E SUPRESSÃO)</t>
  </si>
  <si>
    <t>Grau de Sigilo</t>
  </si>
  <si>
    <t>QCI - Quadro de Composição do Investimento</t>
  </si>
  <si>
    <t>#PUBLICO</t>
  </si>
  <si>
    <t>Proponente/Tomador</t>
  </si>
  <si>
    <t>Município/UF</t>
  </si>
  <si>
    <t>Empreendimento ( nome/apelido)</t>
  </si>
  <si>
    <t>Aprovação  (data)</t>
  </si>
  <si>
    <t>PREFEITURA MUNICIPAL</t>
  </si>
  <si>
    <t>REDENÇÃO/PA</t>
  </si>
  <si>
    <t>Operação</t>
  </si>
  <si>
    <t>Programa/Modalidade/Ação</t>
  </si>
  <si>
    <t>Financiamento</t>
  </si>
  <si>
    <t>Repassse</t>
  </si>
  <si>
    <t>Ocultar</t>
  </si>
  <si>
    <t>OCULTAR</t>
  </si>
  <si>
    <t>Limite</t>
  </si>
  <si>
    <t>Discriminação</t>
  </si>
  <si>
    <t>Contrapartida</t>
  </si>
  <si>
    <t>Total</t>
  </si>
  <si>
    <t>Execução</t>
  </si>
  <si>
    <t>Item</t>
  </si>
  <si>
    <t>Descição</t>
  </si>
  <si>
    <t>Superior</t>
  </si>
  <si>
    <t>Inferior</t>
  </si>
  <si>
    <t>R$</t>
  </si>
  <si>
    <t>VERIFIC USO REP</t>
  </si>
  <si>
    <t>SOMENTE CP</t>
  </si>
  <si>
    <t>Próprios       (R$)</t>
  </si>
  <si>
    <t>CONTA PREENCH</t>
  </si>
  <si>
    <t>(%)</t>
  </si>
  <si>
    <t>Total %</t>
  </si>
  <si>
    <t xml:space="preserve"> R$</t>
  </si>
  <si>
    <t>EF ou AD</t>
  </si>
  <si>
    <t>OS ou FIN</t>
  </si>
  <si>
    <t>EF</t>
  </si>
  <si>
    <t>FIN</t>
  </si>
  <si>
    <t>Forma de execução: AD = Administração Direta pelo Tomador</t>
  </si>
  <si>
    <t xml:space="preserve">ou EF se execução e/ou fornecimento a contratar/contrado. </t>
  </si>
  <si>
    <t>Tipo de contrapartida: FIN = Financeira; OS = em Obras e Serviços.</t>
  </si>
  <si>
    <t>____________________________</t>
  </si>
  <si>
    <t>ENGENHEIRO CIVIL</t>
  </si>
  <si>
    <t>CRONOGRAMA FÍSICO - FINANCEIRO</t>
  </si>
  <si>
    <t>OBRA:</t>
  </si>
  <si>
    <t>MUNICÍPIO:</t>
  </si>
  <si>
    <t>REDENÇÃO - PA</t>
  </si>
  <si>
    <t/>
  </si>
  <si>
    <t>_____________________________________</t>
  </si>
  <si>
    <t>___________________________________________________________</t>
  </si>
  <si>
    <t>___________________________________________</t>
  </si>
  <si>
    <t>_____________________________________________</t>
  </si>
  <si>
    <t>A.R. SANTIS CONSTRUÇÕES EIRRELI</t>
  </si>
  <si>
    <t>REFORMA FEIRA COBERTA DO CENTRO</t>
  </si>
  <si>
    <t>Nº 172/2019-CPL</t>
  </si>
  <si>
    <t>Tomada de preço n.º 006/2019</t>
  </si>
  <si>
    <t>Nº DO CONVENIO:</t>
  </si>
  <si>
    <t>039/2019</t>
  </si>
  <si>
    <t>849988/2017 MDR</t>
  </si>
  <si>
    <t>PLACA DE OBRA EM CHAPA DE ACO GALVANIZADO</t>
  </si>
  <si>
    <t>CAMINHÃO TOCO, PBT 14.300 KG, CARGA ÚTIL MÁX. 9.710 KG, DIST. ENTRE EIXOS 3,56 M, POTÊNCIA 185 CV, INCLUSIVE CARROCERIA FIXA ABERTA DE MADEIRA P/ TRANSPORTE GERAL DE CARGA SECA, DIMEN. APROX. 2,50 X 6,50 X 0,50 M - CHP DIURNO. AF_06/2014</t>
  </si>
  <si>
    <t>PRELIMINARES</t>
  </si>
  <si>
    <t>REMOÇÕES/DEMOLIÇÕES</t>
  </si>
  <si>
    <t>REMOÇÃO DE TRAMA DE MADEIRA PARA COBERTURA, DE FORMA MANUAL, SEM REAPROVEITAMENTO. AF_12/2017</t>
  </si>
  <si>
    <t>REMOÇÃO DE TELHAS, DE FIBROCIMENTO, METÁLICA E CERÂMICA, DE FORMA MANUAL, SEM REAPROVEITAMENTO. AF_12/2017</t>
  </si>
  <si>
    <t>DEMOLIÇÃO DE ALVENARIA PARA QUALQUER TIPO DE BLOCO, DE FORMA MECANIZADA, SEM REAPROVEITAMENTO. AF_12/2017</t>
  </si>
  <si>
    <t>DEMOLIÇÃO DE REVESTIMENTO CERÂMICO, DE FORMA MANUAL, SEM REAPROVEITAMENTO. AF_12/2017</t>
  </si>
  <si>
    <t>REMOÇÃO DE LOUÇAS, DE FORMA MANUAL, SEM REAPROVEITAMENTO. AF_12/2017</t>
  </si>
  <si>
    <t>REMOÇÃO DE PORTAS, DE FORMA MANUAL, SEM REAPROVEITAMENTO. AF_12/2017</t>
  </si>
  <si>
    <t>DEMOLIÇÃO DE LAJES, DE FORMA MECANIZADA COM MARTELETE, SEM REAPROVEITAMENTO. AF_12/2017</t>
  </si>
  <si>
    <t>MATERIAIS/BANHEIROS</t>
  </si>
  <si>
    <t>CHUVEIRO COMUM EM PLASTICO BRANCO, COM CANO, 3 TEMPERATURAS, 5500 W (110/220)</t>
  </si>
  <si>
    <t>BARRA DE APOIO RETA, EM ACO INOX POLIDO, COMPRIMENTO 80CM, DIAMETRO MINIMO 3 CM</t>
  </si>
  <si>
    <t>VASO SANITARIO SIFONADO CONVENCIONAL COM LOUÇA BRANCA, INCLUSO CONJUNTO DE LIGAÇÃO PARA BACIA SANITÁRIA AJUSTÁVEL - FORNECIMENTO E INSTALAÇÃO. AF_10/2016</t>
  </si>
  <si>
    <t>VALVULA DESCARGA 1.1/2" COM REGISTRO, ACABAMENTO EM METAL CROMADO - FORNECIMENTO E INSTALACAO</t>
  </si>
  <si>
    <t>VASO SANITARIO SIFONADO CONVENCIONAL PARA PCD SEM FURO FRONTAL COM  LOUÇA BRANCA SEM ASSENTO -  FORNECIMENTO E INSTALAÇÃO. AF_10/2016</t>
  </si>
  <si>
    <t>LAVATÓRIO LOUÇA BRANCA COM COLUNA, *44 X 35,5* CM, PADRÃO POPULAR - FORNECIMENTO E INSTALAÇÃO. AF_12/2013</t>
  </si>
  <si>
    <t>LAVATÓRIO LOUÇA BRANCA SUSPENSO, 29,5 X 39CM OU EQUIVALENTE, PADRÃO POPULAR - FORNECIMENTO E INSTALAÇÃO. AF_12/2013</t>
  </si>
  <si>
    <t>TORNEIRA CROMADA 1/2" OU 3/4" PARA TANQUE, PADRÃO POPULAR - FORNECIMENTO E INSTALAÇÃO. AF_12/2013</t>
  </si>
  <si>
    <t>GRANITO PARA BANCADA, POLIDO, TIPO ANDORINHA/ QUARTZ/ CASTELO/ CORUMBA OU OUTROS EQUIVALENTES DA REGIAO, E=  *2,5* CM</t>
  </si>
  <si>
    <t>TANQUE DE LOUÇA BRANCA COM COLUNA, 30L OU EQUIVALENTE, INCLUSO SIFÃO FLEXÍVEL EM PVC, VÁLVULA PLÁSTICA E TORNEIRA DE METAL CROMADO PADRÃO POPULAR - FORNECIMENTO E INSTALAÇÃO. AF_12/2013_P</t>
  </si>
  <si>
    <t>PORTA DE FERRO TIPO VENEZIANA, DE ABRIR, SEM BANDEIRA SEM FERRAGENS</t>
  </si>
  <si>
    <t>PORTA EM ALUMÍNIO DE ABRIR TIPO VENEZIANA COM GUARNIÇÃO, FIXAÇÃO COM PARAFUSOS - FORNECIMENTO E INSTALAÇÃO. AF_08/2015</t>
  </si>
  <si>
    <t>INSTALAÇÕES HIDROSANITÁRIAS</t>
  </si>
  <si>
    <t>73933/003</t>
  </si>
  <si>
    <t>5.5</t>
  </si>
  <si>
    <t>5.6</t>
  </si>
  <si>
    <t>5.7</t>
  </si>
  <si>
    <t>5.8</t>
  </si>
  <si>
    <t>(COMPOSIÇÃO REPRESENTATIVA) DO SERVIÇO DE INSTALAÇÃO DE TUBOS DE PVC, SOLDÁVEL, ÁGUA FRIA, DN 40 MM (INSTALADO EM PRUMADA), INCLUSIVE CONEXÕES, CORTES E FIXAÇÕES, PARA PRÉDIOS. AF_10/2015</t>
  </si>
  <si>
    <t>(COMPOSIÇÃO REPRESENTATIVA) DO SERVIÇO DE INST. TUBO PVC, SÉRIE N, ESGOTO PREDIAL, 100 MM (INST. RAMAL DESCARGA, RAMAL DE ESG. SANIT., PRUMADA ESG. SANIT., VENTILAÇÃO OU SUB-COLETOR AÉREO), INCL. CONEXÕES E CORTES, FIXAÇÕES, P/ PRÉDIOS. AF_10/2015</t>
  </si>
  <si>
    <t>(COMPOSIÇÃO REPRESENTATIVA) DO SERVIÇO DE INSTALAÇÃO TUBOS DE PVC, SOLDÁVEL, ÁGUA FRIA, DN 32 MM (INSTALADO EM RAMAL, SUB-RAMAL, RAMAL DE DISTRIBUIÇÃO OU PRUMADA), INCLUSIVE CONEXÕES, CORTES E FIXAÇÕES, PARA PRÉDIOS. AF_10/2015</t>
  </si>
  <si>
    <t>ALVENARIA</t>
  </si>
  <si>
    <t>(COMPOSIÇÃO REPRESENTATIVA) DO SERVIÇO DE ALVENARIA DE VEDAÇÃO DE BLOCOS VAZADOS DE CERÂMICA DE 9X19X19CM (ESPESSURA 9CM), PARA EDIFICAÇÃO HABITACIONAL UNIFAMILIAR (CASA) E EDIFICAÇÃO PÚBLICA PADRÃO. AF_11/2014</t>
  </si>
  <si>
    <t>CHAPISCO APLICADO EM ALVENARIA (SEM PRESENÇA DE VÃOS) E ESTRUTURAS DE CONCRETO DE FACHADA, COM COLHER DE PEDREIRO.  ARGAMASSA TRAÇO 1:3 COM PREPARO EM BETONEIRA 400L. AF_06/2014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</si>
  <si>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</si>
  <si>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REVESTIMENTOS</t>
  </si>
  <si>
    <t>REVESTIMENTO CERÂMICO PARA PAREDES INTERNAS COM PLACAS TIPO ESMALTADA EXTRA DE DIMENSÕES 25X35 CM APLICADAS EM AMBIENTES DE ÁREA MAIOR QUE 5 M² NA ALTURA INTEIRA DAS PAREDES. AF_06/2014</t>
  </si>
  <si>
    <t>REVESTIMENTO CERÂMICO PARA PISO COM PLACAS TIPO ESMALTADA EXTRA DE DIMENSÕES 35X35 CM APLICADA EM AMBIENTES DE ÁREA MAIOR QUE 10 M2. AF_06/2014</t>
  </si>
  <si>
    <t>PINTURA</t>
  </si>
  <si>
    <t>APLICAÇÃO MANUAL DE PINTURA COM TINTA LÁTEX PVA EM PAREDES, DUAS DEMÃOS. AF_06/2014</t>
  </si>
  <si>
    <t>PINTURA ESMALTE ACETINADO, DUAS DEMAOS, SOBRE SUPERFICIE METALICA</t>
  </si>
  <si>
    <t>PINTURA EPOXI, DUAS DEMAOS</t>
  </si>
  <si>
    <t>FORRAÇÃO</t>
  </si>
  <si>
    <t>FORRO EM RÉGUAS DE PVC, FRISADO, PARA AMBIENTES COMERCIAIS, INCLUSIVE ESTRUTURA DE FIXAÇÃO. AF_05/2017_P</t>
  </si>
  <si>
    <t>CALÇADAS/PISOS</t>
  </si>
  <si>
    <t>EXECUÇÃO DE PASSEIO (CALÇADA) OU PISO DE CONCRETO COM CONCRETO MOLDADO IN LOCO, USINADO, ACABAMENTO CONVENCIONAL, NÃO ARMADO, INCLUSO JUNTAS DE DILATAÇÃO. AF_07/2016</t>
  </si>
  <si>
    <t>FORNECIMENTO E INSTALAÇÃO DE PISO TÁTIL, DIRECIONAL (AMARELO)  OU ALERTA (VERDE) 20X20 CM E = 2 CM</t>
  </si>
  <si>
    <t>PISO CIMENTADO, TRAÇO 1:3 (CIMENTO E AREIA), ACABAMENTO LISO, ESPESSURA 2,0 CM, PREPARO MECÂNICO DA ARGAMASSA. AF_06/2018</t>
  </si>
  <si>
    <t>COBERTURA</t>
  </si>
  <si>
    <t>INSTALAÇÃO DE TESOURA (INTEIRA OU MEIA), EM AÇO, PARA VÃOS MAIORES OU IGUAIS A 10,0 M E MENORES QUE 12,0 M, INCLUSO IÇAMENTO. AF_12/2015</t>
  </si>
  <si>
    <t>TRAMA DE AÇO COMPOSTA POR TERÇAS PARA TELHADOS DE ATÉ 2 ÁGUAS PARA TELHA ONDULADA DE FIBROCIMENTO, METÁLICA, PLÁSTICA OU TERMOACÚSTICA, INCLUSO TRANSPORTE VERTICAL. AF_12/2015</t>
  </si>
  <si>
    <t>TELHAMENTO COM TELHA DE AÇO/ALUMÍNIO E = 0,5 MM, COM ATÉ 2 ÁGUAS, INCLUSO IÇAMENTO. AF_06/2016</t>
  </si>
  <si>
    <t>ESTRUTURA METALICA EM ACO ESTRUTURAL PERFIL I 6 X 3 3/8</t>
  </si>
  <si>
    <t>SISTEMA PLUVIAL</t>
  </si>
  <si>
    <t>GRELHA DE FERRO FUNDIDO PARA CANALETA LARG = 55CM, FORNECIMENTO E ASSENTAMENTO</t>
  </si>
  <si>
    <t>CALHA EM CHAPA DE AÇO GALVANIZADO NÚMERO 24, DESENVOLVIMENTO DE 33 CM, INCLUSO TRANSPORTE VERTICAL. AF_06/2016</t>
  </si>
  <si>
    <t>PORTÕES</t>
  </si>
  <si>
    <t>FORNECIMENTO E INSTALAÇÃO DE PORTÃO DE CORRER EM GRADIL FIXO DE BARRA UE FERRO CHATA DE 3X1/4" NA VERTICAL, ACABAMENTO NATURAL COM TRILHOS E ROLDANAS - INCLUSO PINTURA ANTICORROSIVA E ESMALTE SINTÉTICO DE ACABAMENTO</t>
  </si>
  <si>
    <t>JARDIM</t>
  </si>
  <si>
    <t>PLANTIO DE GRAMA ESMERALDA EM ROLO</t>
  </si>
  <si>
    <t>6.4</t>
  </si>
  <si>
    <t>6.5</t>
  </si>
  <si>
    <t>6.6</t>
  </si>
  <si>
    <t>8</t>
  </si>
  <si>
    <t>8.1</t>
  </si>
  <si>
    <t>8.2</t>
  </si>
  <si>
    <t>9</t>
  </si>
  <si>
    <t>9.1</t>
  </si>
  <si>
    <t>9.2</t>
  </si>
  <si>
    <t>10</t>
  </si>
  <si>
    <t>10.1</t>
  </si>
  <si>
    <t>11</t>
  </si>
  <si>
    <t>11.1</t>
  </si>
  <si>
    <t>12</t>
  </si>
  <si>
    <t>12.1</t>
  </si>
  <si>
    <t>12.2</t>
  </si>
  <si>
    <t>12.3</t>
  </si>
  <si>
    <t>13</t>
  </si>
  <si>
    <t>13.1</t>
  </si>
  <si>
    <t>13.2</t>
  </si>
  <si>
    <t>13.3</t>
  </si>
  <si>
    <t>14</t>
  </si>
  <si>
    <t>14.1</t>
  </si>
  <si>
    <t>15</t>
  </si>
  <si>
    <t>15.1</t>
  </si>
  <si>
    <t>74209/001</t>
  </si>
  <si>
    <t>CPU 01</t>
  </si>
  <si>
    <t>73924/002</t>
  </si>
  <si>
    <t>CPU 02</t>
  </si>
  <si>
    <t>73970/002</t>
  </si>
  <si>
    <t>CPU 03</t>
  </si>
  <si>
    <t>13.4</t>
  </si>
  <si>
    <t>M</t>
  </si>
  <si>
    <t>KG</t>
  </si>
  <si>
    <t>COLEMAR L. HONOSTORIO JUNIOR</t>
  </si>
  <si>
    <t>Engenheiro Civil - CREA 1016187041 D/GO</t>
  </si>
  <si>
    <t>ANTONIO P. O. NETO</t>
  </si>
  <si>
    <t>Assessor Administrativo - Decreto 088/2017</t>
  </si>
  <si>
    <t xml:space="preserve">FISCAL MUNICIPAL DE CONTRATO </t>
  </si>
  <si>
    <t>A.R. SANTINS CONSTRUÇÕES EIRELI</t>
  </si>
  <si>
    <t>CNPJ: 23.513.020/0001-61</t>
  </si>
  <si>
    <t>Karloman Rodrigues Santins - Responsável pela a Empresa</t>
  </si>
  <si>
    <t xml:space="preserve">VALOR TOTAL DO ADITIVO </t>
  </si>
  <si>
    <t xml:space="preserve">CONTRATADO </t>
  </si>
  <si>
    <t>COLEMAR LIMA HONOSTORIO JUNIOR</t>
  </si>
  <si>
    <t>CREA 1016187041 D/GO</t>
  </si>
  <si>
    <t>Descrição</t>
  </si>
  <si>
    <t>Total Por Etapa</t>
  </si>
  <si>
    <t>30 DIAS</t>
  </si>
  <si>
    <t>60 DIAS</t>
  </si>
  <si>
    <t>90 DIAS</t>
  </si>
  <si>
    <t>120 DIAS</t>
  </si>
  <si>
    <t>Porcentagem</t>
  </si>
  <si>
    <t>Custo</t>
  </si>
  <si>
    <t>Porcentagem Acumulado</t>
  </si>
  <si>
    <t>Custo Acumulado</t>
  </si>
  <si>
    <r>
      <t xml:space="preserve">Tipo de Licitação: </t>
    </r>
    <r>
      <rPr>
        <sz val="10"/>
        <rFont val="Arial"/>
        <family val="2"/>
      </rPr>
      <t xml:space="preserve">TOMADA DE PREÇOS </t>
    </r>
  </si>
  <si>
    <r>
      <t xml:space="preserve">Abertura da Licitação: </t>
    </r>
    <r>
      <rPr>
        <sz val="10"/>
        <rFont val="Arial"/>
        <family val="2"/>
      </rPr>
      <t>12/04/2019   09:00 h</t>
    </r>
  </si>
  <si>
    <r>
      <t xml:space="preserve">Número do Processo Licitatório: </t>
    </r>
    <r>
      <rPr>
        <sz val="10"/>
        <rFont val="Arial"/>
        <family val="2"/>
      </rPr>
      <t>039/2019</t>
    </r>
  </si>
  <si>
    <t>A. R. SANTIS CONSTRUÇÕES EIRELI - ME
CARLOS EDUARDO DE SOUSA DO NASCIMENTO
ENG.CIVIL - RNP: 151215179-3   CPF: 841.155.723-53</t>
  </si>
  <si>
    <t>Contratação de empresa para ampliação e reforma do Mercado Público (Feira Coberta), na Rua Ademar Guimarães – Núcleo Urbano Redenção – PA</t>
  </si>
  <si>
    <t>B.D.I.</t>
  </si>
  <si>
    <t>Nº CONTRATO</t>
  </si>
  <si>
    <t>Redenção - PA, 31 de Janeiro 2020</t>
  </si>
  <si>
    <t>Quant</t>
  </si>
  <si>
    <t>Outros</t>
  </si>
  <si>
    <t>EXECUÇÃO DE SARJETA DE CONCRETO USINADO, MOLDADA  IN LOCO  EM TRECHO CURVO, 30 CM BASE X 10 CM ALTURA. AF_06/2016</t>
  </si>
  <si>
    <t>ESCAVAÇÃO MANUAL DE VALA COM PROFUNDIDADE MENOR OU IGUAL A 1,30 M. AF_03/2016</t>
  </si>
  <si>
    <t>(COMPOSIÇÃO REPRESENTATIVA) DO SERVIÇO DE INSTALAÇÃO DE TUBOS DE PVC, SOLDÁVEL, ÁGUA FRIA, DN 50 MM (INSTALADO EM PRUMADA), INCLUSIVE CONEXÕES, CORTES E FIXAÇÕES, PARA PRÉDIOS. AF_10/2015</t>
  </si>
  <si>
    <t>ITEM NOVO:</t>
  </si>
  <si>
    <t xml:space="preserve">M2 </t>
  </si>
  <si>
    <t xml:space="preserve">TOTAL orçamento paradigama = </t>
  </si>
  <si>
    <t xml:space="preserve">TOTAL orçamento contratado = </t>
  </si>
  <si>
    <t>BDI orçamento paradigma =</t>
  </si>
  <si>
    <t xml:space="preserve">BDI  orçamento contratado= </t>
  </si>
  <si>
    <t>SERRALHEIRO COM ENCARGOS COMPLEMENTARES</t>
  </si>
  <si>
    <t>NÃO DESON. JUN 2018</t>
  </si>
  <si>
    <t>ALVENARIA DE VEDAÇÃO DE BLOCOS CERÂMICOS FURADOS NA VERTICAL DE 9X19X39CM (ESPESSURA 9CM) DE PAREDES COM ÁREA LÍQUIDA MENOR QUE 6M² SEM VÃOS E ARGAMASSA DE ASSENTAMENTO COM PREPARO MANUAL. AF_06/2014</t>
  </si>
  <si>
    <t>M2</t>
  </si>
  <si>
    <t>CONCRETO FCK = 15MPA, TRAÇO 1:3,4:3,5 (CIMENTO/ AREIA MÉDIA/ BRITA 1)  - PREPARO MECÂNICO COM BETONEIRA 400 L. AF_07/2016</t>
  </si>
  <si>
    <t>Und</t>
  </si>
  <si>
    <t>Quant.</t>
  </si>
  <si>
    <t>Valor Unit</t>
  </si>
  <si>
    <t>CAIXA DE INSPEÇÃO - 40x40x30</t>
  </si>
  <si>
    <t>UND</t>
  </si>
  <si>
    <t>SERVIÇOS REALIZADOS</t>
  </si>
  <si>
    <t>MEMÓRIA DE CÁLCULO</t>
  </si>
  <si>
    <t>147,64 m² (área de demarcação de barracas (indicadas em vermelho no projeto))+20,00m² (área de indicação de vagas de estacionamento, conforme projeto) = 230,00 m² *ver projeto arquitetônico* *espessura das linhas de 7 cm para as barracas e 10 cm para as vagas de estacionamento*</t>
  </si>
  <si>
    <t>18,65m²(wc fem)+8,80m²(wc pne masc e fem)+6,73m²(hall sanitários pne)+2,10m²(DML)+18,94m²(wc masc) = 55,22m² *ver prancha com detalhe dos banheiros*</t>
  </si>
  <si>
    <t>1950,32 M² (ÁREA DE CALÇADA EXISTENTE) * 3 CM DE ESPESSURA MÉDIA DA CAMADA DE REGULARIZAÇÃO = 58,51 M³ DE CONCRETO</t>
  </si>
  <si>
    <t>ÁREA DO PISO EXISTENTE DA FEIRA COBERTA. SERÁ FEITO UM RECAPEAMENTO NO PISO, COM O ACABAMENTO SENDO QUEIMADO.</t>
  </si>
  <si>
    <t>7 TESOURAS, CONFORME PROJETO ARQUITETÔNICO (QUIOSQUES DE ALIMENTAÇÃO).</t>
  </si>
  <si>
    <t xml:space="preserve"> 31,00 m + 31,00 m + 31,00 m + 31,00 m = 124,00 m . Referente a colocação de grelhas na extensão onde será feito o alargamento da galeria pluvial, conforme projeto arquitetônico.</t>
  </si>
  <si>
    <t>Referente a trocas e reparo de algumas calhas no telhado existente da feira.</t>
  </si>
  <si>
    <t xml:space="preserve"> 3 portões para saídas, sendo um portão de (4m x 1,50m) PORTAO AA, um portao de ((3,40m x 1,50m) + (0,80 m x 1,10 m)) PORTAO BB e um portão de (7,40m x 1,50 m) PORTÃO CC, totalizando devidamente identificados no projeto arquitetônico.</t>
  </si>
  <si>
    <t>13,35 m² + 8,38 m² + 30,01 m² = 51,74 m² (Plantio de gramas em jardim, identificadas no projeto arquitetônico).</t>
  </si>
  <si>
    <t>DATA: 10/01/2020</t>
  </si>
  <si>
    <t>(COMPOSIÇÃO REPRESENTATIVA) DO SERVIÇO DE CONTRAPISO EM ARGAMASSA TRAÇO 1:4 (CIM E AREIA), EM BETONEIRA 400 L, ESPESSURA 3 CM ÁREAS SECAS E 3 CM ÁREAS MOLHADAS, PARA EDIFICAÇÃO HABITACIONAL MULTIFAMILIAR (PRÉDIO). AF_11/2014</t>
  </si>
  <si>
    <t>CABO DE COBRE FLEXÍVEL ISOLADO, 2,5 MM², ANTI-CHAMA 450/750 V, PARA CIRCUITOS TERMINAIS - FORNECIMENTO E INSTALAÇÃO. AF_12/2015</t>
  </si>
  <si>
    <t>UN</t>
  </si>
  <si>
    <t>PONTO DE ILUMINAÇÃO RESIDENCIAL INCLUINDO INTERRUPTOR SIMPLES, CAIXA ELÉTRICA, ELETRODUTO, CABO, RASGO, QUEBRA E CHUMBAMENTO (EXCLUINDO LUMINÁRIA E LÂMPADA). AF_01/2016</t>
  </si>
  <si>
    <t>PONTO DE ILUMINAÇÃO RESIDENCIAL INCLUINDO INTERRUPTOR SIMPLES (2 MÓDULOS), CAIXA ELÉTRICA, ELETRODUTO, CABO, RASGO, QUEBRA E CHUMBAMENTO (EXCLUINDO LUMINÁRIA E LÂMPADA). AF_01/2016</t>
  </si>
  <si>
    <t>12.4</t>
  </si>
  <si>
    <t>EXECUÇÃO DE PASSEIO (CALÇADA) OU PISO DE CONCRETO COM CONCRETO MOLDADO IN LOCO, USINADO, ACABAMENTO CONVENCIONAL, ESPESSURA 6 CM, ARMADO. AF_07/2016</t>
  </si>
  <si>
    <t>DATA:27/01/2020</t>
  </si>
  <si>
    <t xml:space="preserve"> 14 PILARES X 4 M CADA PILAR X 22 KG/M (PERFIL "I" DE ACO LAMINADO, "I" 152 X 22) = 1.232,00 KG DE ESTRUTURA PARA OS PILARES</t>
  </si>
  <si>
    <t>DESCRIÇÃO MEMORIAL</t>
  </si>
  <si>
    <t>DESCRIÇÃO DE ITENS</t>
  </si>
  <si>
    <t>LUMINÁRIA TIPO PLAFON EM PLÁSTICO, DE SOBREPOR, COM 1 LÂMPADA DE 15 W - FORNECIMENTO E INSTALAÇÃO. AF_11/2017</t>
  </si>
  <si>
    <t>COLEMAR LIMA HONOSTORIO JR</t>
  </si>
  <si>
    <t>EMPRESA</t>
  </si>
  <si>
    <t>FISCAL DE CONTRATO</t>
  </si>
  <si>
    <t xml:space="preserve"> FISCAL DE OBRAS</t>
  </si>
  <si>
    <t>Engenheiro Civil - CREA 1016187041-D/GO</t>
  </si>
  <si>
    <t>FISCAL MUNICIPAL DE OBRAS</t>
  </si>
  <si>
    <t xml:space="preserve">VALOR TOTAL DA PLANILHA APÓS O ADITIVO </t>
  </si>
  <si>
    <t>SINAPI</t>
  </si>
  <si>
    <t>BDI: 22,12</t>
  </si>
  <si>
    <t>EXECUÇÃO DE PASSEIO (CALÇADA) OU PISO DE CONCRETO COM CONCRETO MOLDADO IN LOCO, FEITO NA OBRA, ACABAMENTO CONVENCIONAL, NÃO ARMADO. AF_07/2016</t>
  </si>
  <si>
    <t xml:space="preserve">TUBO COLETOR DE ESGOTO PVC, JEI, DN 100 MM (NBR 7362) </t>
  </si>
  <si>
    <t>CURVA DE PVC, 90 GRAUS, SERIE R, DN 100 MM, PARA ESGOTO PREDIAL</t>
  </si>
  <si>
    <t>UNID.</t>
  </si>
  <si>
    <t>Composição</t>
  </si>
  <si>
    <t>ADMINISTRAÇÃO DA OBRA</t>
  </si>
  <si>
    <t>Composição Auxiliar</t>
  </si>
  <si>
    <t>ENGENHEIRO CIVIL DE OBRA JUNIOR COM ENCARGOS COMPLEMENTARES</t>
  </si>
  <si>
    <t>ENCARREGADO GERAL COM ENCARGOS COMPLEMENTARES</t>
  </si>
  <si>
    <t>m²</t>
  </si>
  <si>
    <t>Insumo</t>
  </si>
  <si>
    <t>38135 - LADRILHO HIDRAULICO, *20X20* CM, E=2 CM, TATIL ALERTA OU DIRECIONAL</t>
  </si>
  <si>
    <t>88630 - ARGAMASSA TRAÇO 1:4 (CIMENTO E AREIA MÉDIA), PREPARO MECÂNICO COM BETONEIRA 400 L. AF_08/2014</t>
  </si>
  <si>
    <t>m³</t>
  </si>
  <si>
    <t>88256 - AZULEJISTA OU LADRILHISTA COM ENCARGAS COMPLEMENTARES</t>
  </si>
  <si>
    <t>88316 - SERVENTE COM ENCARGOS COMPLEMENTARES</t>
  </si>
  <si>
    <t>FORNECIMENTO E INSTALAÇÃO DE PORTÃO DE CORRER EM GRADIL FIXO DE BARRA UE FERRO CHATA DE 3X1/4" NA VERTICAL, ACABAMENTO NATURAL COM TRILHOS E ROLDANAS - INCLUSO PINTURA</t>
  </si>
  <si>
    <t>GRUPO DE SOLDAGEM COM GERADOR A DIESEL 60 CV PARA SOLDA ELÉTRICA, SOBRE 04 RODAS, COM MOTOR 4 CILINDROS 600 A - CHP DIURNO. AF_02/2016</t>
  </si>
  <si>
    <t>GRUPO DE SOLDAGEM COM GERADOR A DIESEL 60 CV PARA SOLDA ELÉTRICA, SOBRE 04 RODAS, COM MOTOR 4 CILINDROS 600 A - CHI DIURNO. AF_02/2016</t>
  </si>
  <si>
    <t>SOLDADOR COM ENCARGOS COMPLEMENTARES</t>
  </si>
  <si>
    <t>ELETRODO REVESTIDO AWS - E7018, DIAMETRO IGUAL A 4,00 MM</t>
  </si>
  <si>
    <t>TELA DE ARAME GALV QUADRANGULAR / LOSANGULAR,  FIO 2,11 MM (14 BWG), MALHA  5 X 5 CM, H = 2 M</t>
  </si>
  <si>
    <t>TUBO ACO GALVANIZADO COM COSTURA, CLASSE MEDIA, DN 1.1/2", E = *3,25* MM, PESO *3,61* KG/M (NBR 5580)</t>
  </si>
  <si>
    <t>TUBO ACO GALVANIZADO COM COSTURA, CLASSE LEVE, DN 25 MM ( 1"),  E = 2,65 MM,  *2,11* KG/M (NBR 5580)</t>
  </si>
  <si>
    <t>GRELHA FOFO SIMPLES COM REQUADRO, CARGA MAXIMA  12,5 T, *300 X 1000* MM, E= *15* MM, AREA ESTACIONAMENTO CARRO PASSEIO</t>
  </si>
  <si>
    <t>CPU 05</t>
  </si>
  <si>
    <t>Composições</t>
  </si>
  <si>
    <t xml:space="preserve"> CPU 04</t>
  </si>
  <si>
    <r>
      <rPr>
        <b/>
        <sz val="12"/>
        <rFont val="Arial Narrow"/>
        <family val="2"/>
      </rPr>
      <t xml:space="preserve">VALOR DO ORIGINAL: </t>
    </r>
    <r>
      <rPr>
        <sz val="12"/>
        <color theme="1"/>
        <rFont val="Arial Narrow"/>
        <family val="2"/>
      </rPr>
      <t>300.389,77</t>
    </r>
  </si>
  <si>
    <t>4.2</t>
  </si>
  <si>
    <t>4.3</t>
  </si>
  <si>
    <t>4.4</t>
  </si>
  <si>
    <t>4.5</t>
  </si>
  <si>
    <t>4.6</t>
  </si>
  <si>
    <t>4.7</t>
  </si>
  <si>
    <t>4.8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</si>
  <si>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</si>
  <si>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</si>
  <si>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</si>
  <si>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</si>
  <si>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</si>
  <si>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</si>
  <si>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</si>
  <si>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</si>
  <si>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</si>
  <si>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9.3</t>
  </si>
  <si>
    <t>11.2</t>
  </si>
  <si>
    <t>11.3</t>
  </si>
  <si>
    <t>11.4</t>
  </si>
  <si>
    <t>11.5</t>
  </si>
  <si>
    <t>Precisamos revestir toda a área dos pisos e paredes dos quiosques e banheiros.</t>
  </si>
  <si>
    <t xml:space="preserve">140,80m²(área paredes internas à serem pintadas nos banheiros)+69,27m²(área paredes externas banheiros)+263,70m²(área externa boxes lado direito-carnes)+119,90m²(área externa boxes lado superior-carnes)+176,88m²(área paredes externas boxes lado superior-peixes)+196,16m²(área paredes externas lado esquerdo-aves)+80,25m²(área paredes externas escritório)+135,45m²(área paredes internas escritório) = 1.182,41 m² e área externa. </t>
  </si>
  <si>
    <t>87,50m² (área pintura guarda-corpos)+181,44m² (área grades dos 63 boxes) = 268,93 m² e pintura de itens metálicos.</t>
  </si>
  <si>
    <t>Referente a piso tátil de acessibilidade em calçadas e rampas.</t>
  </si>
  <si>
    <t>Verificamos a necessidade de reforma do calçamento para a área de estacionamento.</t>
  </si>
  <si>
    <t xml:space="preserve">Verificamos a necessidade de reforma do calçamento para a entrada da área de estacionamento, onde a mesmo não está em planilha. </t>
  </si>
  <si>
    <t>498,37 m² de área de telhado à ser construída para os quiosques, resultando na área da composição. Conforme projeto arquitetônico (QUIOSQUES ALIMENTAÇÃO) e ampliação para área de calçada.</t>
  </si>
  <si>
    <t>498,37 m² (área de telhado à ser construída para os quiosques)+ ((98,82m)*(1,30m altura do fechamento lateral-quiosques))+30 m² (telhas para reparos na área da feira existente) =  656,84 m² Conforme projeto arquitetônico (QUIOSQUES ALIMENTAÇÃO) e ampliação para área de calçada.</t>
  </si>
  <si>
    <t>Referente a  extensão de tubo de esgoto para rede de esgoto dos banheiros.</t>
  </si>
  <si>
    <t xml:space="preserve"> Conforme projeto, paredes a serem demolidas nos banheiros e demolição de paredes em alvenaria que contornavam os quiosques, precisando ser removida para que o piso da área da praça de alimentação fosse nivelado e manter o padrão de toda a área. </t>
  </si>
  <si>
    <t xml:space="preserve">Referente a 84,5 m² de demolição de revestimento das paredes dos banheiros e 45 m² do piso do banheiro- conforme projeto e remoção dos revestimentos para aplicação de um novo revestimento em todos os quiosques. </t>
  </si>
  <si>
    <t>Referente a remoção de 182,12 m² do telhado do quiosque 1; 191,67 m² do telhado do quiosque 2; 179,50 m² do telhado do quiosque - de acordo com o projeto.</t>
  </si>
  <si>
    <t>4 vasos sanitários e 4 lavatórios</t>
  </si>
  <si>
    <t>Referente a remoção de duas portas 80x210 e seis portas 60x210</t>
  </si>
  <si>
    <t>Referente a demolição de concreto da galeria puvial para posterior alargamento, juntamente com regularização da superfície para receber grelha. Juntamente com demolição da calçada para instalação de jardim- conforme projeto.</t>
  </si>
  <si>
    <t xml:space="preserve">Serviço referente a remoção de cobertura dos quiosques e colunas de sustentação da cobertura dos quiosques eram em estrutura metálica. </t>
  </si>
  <si>
    <t>Custos de administração de obra.</t>
  </si>
  <si>
    <t>Refere-se aos custos de mobilização de máquinas e equipamentos necessãrios para a execução da obra</t>
  </si>
  <si>
    <t>Área do escritório provisório, 3m comp. x 2m larg.</t>
  </si>
  <si>
    <t xml:space="preserve">Placa em dimensões 3m (comp.) x 2m (altura) </t>
  </si>
  <si>
    <t>Conforme projeto, um para banheiro feminino e um masculino.</t>
  </si>
  <si>
    <t>Referente a seis barras de apoio de 80 cm cada.</t>
  </si>
  <si>
    <t>Dois vasos por banheiro masculino e feminino.</t>
  </si>
  <si>
    <t>Válvula para 4 vasos sanitários convencionais e 2 vasos PNE.</t>
  </si>
  <si>
    <t>Vasos para banheiros PNE.</t>
  </si>
  <si>
    <t>Lavatórios para banheiros PNE.</t>
  </si>
  <si>
    <t>Lavatórios para banheiros masculino e feminino.</t>
  </si>
  <si>
    <t>Torneira para lavatórios dos banheiros.</t>
  </si>
  <si>
    <t>Duas bancadas de granito nas dimensões de 2,30m x 0,60m para os banheiros - conforme projeto</t>
  </si>
  <si>
    <t>Tanque para auxiliar na limpeza- de acordo com o projeto.</t>
  </si>
  <si>
    <t>Referente a duas portas de 80x210.</t>
  </si>
  <si>
    <t>Referente a 2 portas de 90x210 e 6 portas de 60x210.</t>
  </si>
  <si>
    <t>Referente ao serviço de aplicação de contrapiso para o recebimento de revestimento ceramico no piso dos banheiros.</t>
  </si>
  <si>
    <t xml:space="preserve">Refere-se a quantidade de cabo a ser ultilizado na instalação eletrica dos banheiros PNE, Masculino e Feminino. </t>
  </si>
  <si>
    <t>Refere-se a quantidade de luminaria a ser instaladas.</t>
  </si>
  <si>
    <t>Refere-se a quantidade de ponto de ligação de iluminação.</t>
  </si>
  <si>
    <t>Referente aos serviços de instalação de água fria dos banheiros.</t>
  </si>
  <si>
    <t>Referente aos serviços de instalação de esgoto dos banheiros.</t>
  </si>
  <si>
    <t>Referente aos serviços de instalação de tubos que interligam a caixa d'agua até os ramais.</t>
  </si>
  <si>
    <t>Referente aos serviços de drenagem de coleta de água da parte superior.</t>
  </si>
  <si>
    <t>Escavação para instalação de tubulação.</t>
  </si>
  <si>
    <t>Referente aos serviços de instalação até os banheiros</t>
  </si>
  <si>
    <t>Refere-se as paredes a construir nos banheiros- conforme projeto. (0,86 m comp. x 2,80 m altura)+(0,80 m comp. X 2,80 m altura)+(1,90 m comp x 2,80 m altura)+(0,80 m comp. X 2,80 m altura) = 13,08 m²</t>
  </si>
  <si>
    <t>Referente ao chapisco aplicado nas paredes que forem construídas nos banheiros, mesma área da composição anterior, porém dobrada (dois lados da parede).</t>
  </si>
  <si>
    <t>Referente ao reboco das paredes construidas nos banheiros, mesma área da composição 7.1, porém dobrada (dois lados da parede).</t>
  </si>
  <si>
    <t xml:space="preserve">Assentamento de revestimento cerâmico nos banheiros, com altura de 2 m. ((6,55m comp x 2 box)+(6,71 m comp x 1 box)+(7,53 m comp x 2 banheiros pne)+(5,41 m comp x 1 dml)+(5,82 m comp x 1 box)+(5,70 m comp x 2 box))* 2m de altura + (2,32 m comp. X 0,15 m altura x 2 banheiros (roda bancadas)) = 115,70 m² de revestimento e Precisamos revestir toda a área dos pisos e paredes dos quiosques para que os usuários tenham um ambiente higienizado. </t>
  </si>
  <si>
    <t>valor final</t>
  </si>
  <si>
    <t>Obra:</t>
  </si>
  <si>
    <t>AMPLIAÇÃO E REFORMA DO MERCADO PUBLICO (FEIRA COBERTA)</t>
  </si>
  <si>
    <t>INÍCIO</t>
  </si>
  <si>
    <t>Boletim de Medição</t>
  </si>
  <si>
    <t>Período:</t>
  </si>
  <si>
    <t>Endereço:</t>
  </si>
  <si>
    <t>RUA ADEMAR GUIMARÃES - CENTRO</t>
  </si>
  <si>
    <t>Empresa:</t>
  </si>
  <si>
    <t>TÉRMINO</t>
  </si>
  <si>
    <t>Contrato N.º : 172/2018</t>
  </si>
  <si>
    <t>Licitação: 039/2019</t>
  </si>
  <si>
    <t>Tomada de Preços: 006/2019</t>
  </si>
  <si>
    <t>Valor da Obra:</t>
  </si>
  <si>
    <t>R$ 300.389,75 (Trezentos mil, trezentos e oitenta e nove reais, e setenta e cinco centavos)</t>
  </si>
  <si>
    <t xml:space="preserve">PLANILHA DE MEDIÇÃO </t>
  </si>
  <si>
    <t>ITEM</t>
  </si>
  <si>
    <t>DESCRIÇÃO DOS SERVIÇOS</t>
  </si>
  <si>
    <t>A SER EXECUTADO</t>
  </si>
  <si>
    <t>Unid.</t>
  </si>
  <si>
    <t xml:space="preserve">R$ Unit. c/ BDI      </t>
  </si>
  <si>
    <t xml:space="preserve">R$ Total c/ BDI              </t>
  </si>
  <si>
    <t>FÍSICO-FINANCEIRO</t>
  </si>
  <si>
    <t>Executado no Período</t>
  </si>
  <si>
    <t>Acumulado Atual</t>
  </si>
  <si>
    <t>Saldo Contrato</t>
  </si>
  <si>
    <t>Executado (%)</t>
  </si>
  <si>
    <t>Total (R$)</t>
  </si>
  <si>
    <t>Subtotal item 1.0</t>
  </si>
  <si>
    <t>Subtotal item 2.0</t>
  </si>
  <si>
    <t>Subtotal item 3.0</t>
  </si>
  <si>
    <t>Subtotal item 4.0</t>
  </si>
  <si>
    <t>Subtotal item 5.0</t>
  </si>
  <si>
    <t>Subtotal item 6.0</t>
  </si>
  <si>
    <t>Subtotal item 7.0</t>
  </si>
  <si>
    <t>Subtotal item 8.0</t>
  </si>
  <si>
    <t>Subtotal item 9.0</t>
  </si>
  <si>
    <t>Subtotal item 10.0</t>
  </si>
  <si>
    <t>Subtotal item 11.0</t>
  </si>
  <si>
    <t>Subtotal item 12.0</t>
  </si>
  <si>
    <t>Subtotal item 13.0</t>
  </si>
  <si>
    <t>Subtotal item 14.0</t>
  </si>
  <si>
    <t>Subtotal item 15.0</t>
  </si>
  <si>
    <t>Total Planilha (R$)</t>
  </si>
  <si>
    <t>Percentual (%)</t>
  </si>
  <si>
    <t xml:space="preserve"> FISCAL DE CONTRATO</t>
  </si>
  <si>
    <t>______________________________</t>
  </si>
  <si>
    <t>COLEMAR LIMA HONOSTORIO JUNIOR
Engenheiro Civil 
CREA 1016187041 D/GO
Fiscalização de Obras</t>
  </si>
  <si>
    <t>ANTONIO P. O. NETO
Assessor Administrativo - Decreto 088/2017
Fiscal Municipal de Contrato</t>
  </si>
  <si>
    <t>A. R. SANTINS CONSTRUÇÕES EIRELI
CNPJ: 23.513.020/0001-61
Kalorman Rodrigues Santins
Responsável pela Empresa</t>
  </si>
  <si>
    <t>VALOR TOTAL DA NOTA FISCAL</t>
  </si>
  <si>
    <t>R$ 414.171,72 (Quatrocentos e quatorze mil, cento e setenta e um reais, e setenta e dois centavos)</t>
  </si>
  <si>
    <t>-</t>
  </si>
  <si>
    <t>APÓS ADITIVO</t>
  </si>
  <si>
    <t>CONTRATO ANTERIOR</t>
  </si>
  <si>
    <t>Valor após Aditivo:</t>
  </si>
  <si>
    <t>R$ 300.389,77 (Trezentos mil, trezentos e oitenta e nove reais, e setenta e sete centavos)</t>
  </si>
  <si>
    <t xml:space="preserve"> </t>
  </si>
  <si>
    <t>Período</t>
  </si>
  <si>
    <t>Local:</t>
  </si>
  <si>
    <t>Rua ADEMAR GUIMARÃES - NÚCLEO URBANO</t>
  </si>
  <si>
    <t>Contratado:</t>
  </si>
  <si>
    <t>METAS DA MEDIÇÃO</t>
  </si>
  <si>
    <t>VALOR</t>
  </si>
  <si>
    <t>SERVIÇO PRELIMINARES</t>
  </si>
  <si>
    <t>MOBILIZAÇÃO E DESMOBILIZAÇÃO</t>
  </si>
  <si>
    <t>ADMINISTRAÇÃO</t>
  </si>
  <si>
    <t>REMOÇÃO/DEMOLIÇÕES</t>
  </si>
  <si>
    <t>REVESTIMENTO</t>
  </si>
  <si>
    <t xml:space="preserve">TOTAL: </t>
  </si>
  <si>
    <t>ANTERIOR</t>
  </si>
  <si>
    <t>ADITIVO</t>
  </si>
  <si>
    <t>Origem dos Recursos: MINISTÉRIO DO DESENVOLVIMENTO REGIONAL E RECURSO PROPRIO</t>
  </si>
  <si>
    <t>OUT/2020</t>
  </si>
  <si>
    <r>
      <rPr>
        <b/>
        <sz val="24"/>
        <rFont val="Bookman Old Style"/>
        <family val="1"/>
      </rPr>
      <t xml:space="preserve">BM </t>
    </r>
    <r>
      <rPr>
        <b/>
        <sz val="28"/>
        <rFont val="Bookman Old Style"/>
        <family val="1"/>
      </rPr>
      <t>06</t>
    </r>
  </si>
  <si>
    <t>BOLETIM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</si>
</sst>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  <numFmt numFmtId="165" formatCode="_(* #,##0.00_);_(* \(#,##0.00\);_(* &quot;-&quot;??_);_(@_)"/>
    <numFmt numFmtId="166" formatCode="0.00000000000000"/>
    <numFmt numFmtId="167" formatCode="&quot;R$&quot;\ #,##0.00"/>
    <numFmt numFmtId="168" formatCode="_-&quot;R$&quot;* #,##0.00_-;\-&quot;R$&quot;* #,##0.00_-;_-&quot;R$&quot;* &quot;-&quot;??_-;_-@_-"/>
    <numFmt numFmtId="169" formatCode="0.000000"/>
    <numFmt numFmtId="170" formatCode="_-* #,##0.00_-;\-* #,##0.00_-;_-* \-??_-;_-@_-"/>
    <numFmt numFmtId="171" formatCode="_-[$R$-416]\ * #,##0.00_-;\-[$R$-416]\ * #,##0.00_-;_-[$R$-416]\ * &quot;-&quot;??_-;_-@_-"/>
    <numFmt numFmtId="172" formatCode="0.0000"/>
    <numFmt numFmtId="173" formatCode="#,##0.0000000"/>
    <numFmt numFmtId="174" formatCode="0.0000000000000"/>
    <numFmt numFmtId="175" formatCode="#,##0.0"/>
    <numFmt numFmtId="176" formatCode="_-* #,##0.0000_-;\-* #,##0.0000_-;_-* &quot;-&quot;??_-;_-@_-"/>
    <numFmt numFmtId="177" formatCode="#,##0.00&quot; &quot;;&quot;(&quot;#,##0.00&quot;)&quot;;&quot;-&quot;#&quot; &quot;;@&quot; &quot;"/>
    <numFmt numFmtId="178" formatCode="_-* #,##0.00000_-;\-* #,##0.00000_-;_-* &quot;-&quot;??_-;_-@_-"/>
    <numFmt numFmtId="179" formatCode="_-* #,##0.000_-;\-* #,##0.000_-;_-* &quot;-&quot;??_-;_-@_-"/>
    <numFmt numFmtId="180" formatCode="0.0000%"/>
    <numFmt numFmtId="181" formatCode="0.00000000%"/>
    <numFmt numFmtId="182" formatCode="0.00000%"/>
    <numFmt numFmtId="183" formatCode="0.00000000000000000%"/>
  </numFmts>
  <fonts count="10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</font>
    <font>
      <sz val="10"/>
      <color indexed="8"/>
      <name val="Calibri"/>
      <family val="2"/>
      <scheme val="minor"/>
    </font>
    <font>
      <sz val="8"/>
      <color indexed="8"/>
      <name val="Courier"/>
      <family val="3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rgb="FF0000FF"/>
      <name val="Arial Narrow"/>
      <family val="2"/>
    </font>
    <font>
      <sz val="12"/>
      <color rgb="FFFF000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sz val="10"/>
      <color rgb="FF002060"/>
      <name val="Times New Roman"/>
      <family val="1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sz val="14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2"/>
      <name val="Swis721 Md BT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sz val="9"/>
      <color indexed="22"/>
      <name val="Arial"/>
      <family val="2"/>
    </font>
    <font>
      <b/>
      <sz val="9"/>
      <color indexed="10"/>
      <name val="Arial"/>
      <family val="2"/>
    </font>
    <font>
      <sz val="16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6"/>
      <name val="Arial Narrow"/>
      <family val="2"/>
    </font>
    <font>
      <sz val="10"/>
      <color rgb="FF000000"/>
      <name val="Arial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2"/>
    </font>
    <font>
      <b/>
      <sz val="10"/>
      <name val="Arial"/>
      <family val="1"/>
    </font>
    <font>
      <b/>
      <sz val="10"/>
      <color theme="0"/>
      <name val="Arial"/>
      <family val="1"/>
    </font>
    <font>
      <sz val="10"/>
      <name val="Arial"/>
      <family val="1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36"/>
      <color theme="1"/>
      <name val="Calibri"/>
      <family val="2"/>
      <scheme val="minor"/>
    </font>
    <font>
      <sz val="10"/>
      <color theme="1"/>
      <name val="Arial"/>
      <family val="1"/>
    </font>
    <font>
      <sz val="14"/>
      <color theme="1"/>
      <name val="Calibri"/>
      <family val="2"/>
      <scheme val="minor"/>
    </font>
    <font>
      <sz val="14"/>
      <color theme="1"/>
      <name val="Arial"/>
      <family val="1"/>
    </font>
    <font>
      <sz val="18"/>
      <color rgb="FFFF0000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0"/>
      <name val="Arial Narrow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28"/>
      <color indexed="18"/>
      <name val="Bookman Old Style"/>
      <family val="1"/>
    </font>
    <font>
      <sz val="11"/>
      <name val="Arial"/>
      <family val="1"/>
    </font>
    <font>
      <b/>
      <sz val="14"/>
      <color theme="1"/>
      <name val="Bookman Old Style"/>
      <family val="1"/>
    </font>
    <font>
      <b/>
      <sz val="28"/>
      <name val="Bookman Old Style"/>
      <family val="1"/>
    </font>
    <font>
      <b/>
      <sz val="24"/>
      <name val="Bookman Old Style"/>
      <family val="1"/>
    </font>
    <font>
      <sz val="12"/>
      <color theme="1"/>
      <name val="Arial"/>
      <family val="2"/>
    </font>
    <font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1"/>
      <color rgb="FF000000"/>
      <name val="Arial1"/>
    </font>
    <font>
      <b/>
      <sz val="12"/>
      <name val="Times New Roman"/>
      <family val="1"/>
    </font>
    <font>
      <sz val="11"/>
      <name val="Arial"/>
      <family val="2"/>
    </font>
    <font>
      <sz val="10"/>
      <color theme="3" tint="-0.499984740745262"/>
      <name val="Arial"/>
      <family val="2"/>
    </font>
    <font>
      <b/>
      <sz val="16"/>
      <name val="Bookman Old Style"/>
      <family val="1"/>
    </font>
    <font>
      <b/>
      <sz val="18"/>
      <name val="Bookman Old Style"/>
      <family val="1"/>
    </font>
    <font>
      <b/>
      <sz val="11"/>
      <color theme="4" tint="-0.249977111117893"/>
      <name val="Arial"/>
      <family val="2"/>
    </font>
    <font>
      <sz val="12"/>
      <color theme="4" tint="-0.249977111117893"/>
      <name val="Arial Narrow"/>
      <family val="2"/>
    </font>
    <font>
      <b/>
      <sz val="12"/>
      <color theme="4" tint="-0.249977111117893"/>
      <name val="Arial Narrow"/>
      <family val="2"/>
    </font>
    <font>
      <b/>
      <sz val="12"/>
      <color rgb="FF0070C0"/>
      <name val="Arial Narrow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20"/>
      <name val="Arial"/>
      <family val="2"/>
    </font>
    <font>
      <b/>
      <sz val="14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DFF0D8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ck">
        <color rgb="FFFF5500"/>
      </bottom>
      <diagonal/>
    </border>
    <border>
      <left style="thin">
        <color rgb="FFCCCCCC"/>
      </left>
      <right style="thin">
        <color rgb="FFCCCCCC"/>
      </right>
      <top style="thick">
        <color rgb="FFFF5500"/>
      </top>
      <bottom/>
      <diagonal/>
    </border>
    <border>
      <left style="thin">
        <color rgb="FFCCCCCC"/>
      </left>
      <right/>
      <top style="thin">
        <color rgb="FFCCCCCC"/>
      </top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rgb="FFCCCCCC"/>
      </right>
      <top style="thin">
        <color rgb="FFCCCCCC"/>
      </top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9" fillId="0" borderId="0"/>
    <xf numFmtId="0" fontId="14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170" fontId="9" fillId="0" borderId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87" fillId="0" borderId="0" applyFont="0" applyBorder="0" applyProtection="0"/>
  </cellStyleXfs>
  <cellXfs count="806">
    <xf numFmtId="0" fontId="0" fillId="0" borderId="0" xfId="0"/>
    <xf numFmtId="4" fontId="0" fillId="0" borderId="0" xfId="0" applyNumberFormat="1"/>
    <xf numFmtId="166" fontId="0" fillId="0" borderId="0" xfId="0" applyNumberFormat="1"/>
    <xf numFmtId="2" fontId="0" fillId="0" borderId="0" xfId="0" applyNumberFormat="1"/>
    <xf numFmtId="10" fontId="0" fillId="0" borderId="0" xfId="0" applyNumberFormat="1" applyAlignment="1">
      <alignment horizontal="left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4" borderId="3" xfId="3" applyFont="1" applyFill="1" applyBorder="1" applyAlignment="1">
      <alignment horizontal="center" vertical="center" wrapText="1"/>
    </xf>
    <xf numFmtId="0" fontId="10" fillId="4" borderId="3" xfId="3" applyFont="1" applyFill="1" applyBorder="1" applyAlignment="1">
      <alignment horizontal="left" vertical="center" wrapText="1"/>
    </xf>
    <xf numFmtId="167" fontId="10" fillId="4" borderId="3" xfId="0" applyNumberFormat="1" applyFont="1" applyFill="1" applyBorder="1" applyAlignment="1">
      <alignment horizontal="center" vertical="center" wrapText="1"/>
    </xf>
    <xf numFmtId="168" fontId="12" fillId="0" borderId="3" xfId="0" applyNumberFormat="1" applyFont="1" applyBorder="1" applyAlignment="1">
      <alignment horizontal="center" vertical="center" wrapText="1"/>
    </xf>
    <xf numFmtId="168" fontId="10" fillId="5" borderId="3" xfId="0" applyNumberFormat="1" applyFont="1" applyFill="1" applyBorder="1" applyAlignment="1">
      <alignment horizontal="center" vertical="center" wrapText="1"/>
    </xf>
    <xf numFmtId="167" fontId="12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13" fillId="6" borderId="3" xfId="4" applyFont="1" applyFill="1" applyBorder="1" applyAlignment="1">
      <alignment horizontal="center" vertical="center" wrapText="1"/>
    </xf>
    <xf numFmtId="0" fontId="15" fillId="2" borderId="3" xfId="0" applyFont="1" applyFill="1" applyBorder="1" applyAlignment="1" applyProtection="1">
      <alignment horizontal="left" vertical="center" wrapText="1"/>
      <protection locked="0"/>
    </xf>
    <xf numFmtId="44" fontId="0" fillId="0" borderId="0" xfId="0" applyNumberFormat="1"/>
    <xf numFmtId="0" fontId="16" fillId="0" borderId="3" xfId="0" applyFont="1" applyFill="1" applyBorder="1" applyAlignment="1" applyProtection="1">
      <alignment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right" vertical="center" wrapText="1"/>
      <protection locked="0"/>
    </xf>
    <xf numFmtId="0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169" fontId="16" fillId="0" borderId="3" xfId="0" applyNumberFormat="1" applyFont="1" applyFill="1" applyBorder="1" applyAlignment="1" applyProtection="1">
      <alignment vertical="center" wrapText="1"/>
      <protection locked="0"/>
    </xf>
    <xf numFmtId="0" fontId="17" fillId="5" borderId="12" xfId="1" applyFont="1" applyFill="1" applyBorder="1" applyAlignment="1">
      <alignment horizontal="left" vertical="center"/>
    </xf>
    <xf numFmtId="0" fontId="17" fillId="5" borderId="13" xfId="1" applyFont="1" applyFill="1" applyBorder="1" applyAlignment="1">
      <alignment horizontal="left" vertical="center"/>
    </xf>
    <xf numFmtId="0" fontId="18" fillId="5" borderId="13" xfId="1" applyFont="1" applyFill="1" applyBorder="1" applyAlignment="1">
      <alignment vertical="center"/>
    </xf>
    <xf numFmtId="0" fontId="20" fillId="5" borderId="13" xfId="1" applyFont="1" applyFill="1" applyBorder="1" applyAlignment="1"/>
    <xf numFmtId="0" fontId="21" fillId="0" borderId="0" xfId="0" applyFont="1"/>
    <xf numFmtId="0" fontId="17" fillId="5" borderId="1" xfId="1" applyFont="1" applyFill="1" applyBorder="1" applyAlignment="1">
      <alignment horizontal="left" vertical="center"/>
    </xf>
    <xf numFmtId="0" fontId="17" fillId="5" borderId="0" xfId="1" applyFont="1" applyFill="1" applyBorder="1" applyAlignment="1">
      <alignment horizontal="left" vertical="center"/>
    </xf>
    <xf numFmtId="49" fontId="18" fillId="5" borderId="0" xfId="2" applyNumberFormat="1" applyFont="1" applyFill="1" applyBorder="1" applyAlignment="1">
      <alignment horizontal="center" vertical="center"/>
    </xf>
    <xf numFmtId="165" fontId="20" fillId="5" borderId="10" xfId="2" applyFont="1" applyFill="1" applyBorder="1" applyAlignment="1">
      <alignment horizontal="left" vertical="center"/>
    </xf>
    <xf numFmtId="165" fontId="20" fillId="5" borderId="10" xfId="2" applyFont="1" applyFill="1" applyBorder="1" applyAlignment="1"/>
    <xf numFmtId="165" fontId="20" fillId="5" borderId="11" xfId="2" applyFont="1" applyFill="1" applyBorder="1" applyAlignment="1"/>
    <xf numFmtId="0" fontId="18" fillId="5" borderId="0" xfId="1" applyFont="1" applyFill="1" applyBorder="1" applyAlignment="1">
      <alignment vertical="center"/>
    </xf>
    <xf numFmtId="0" fontId="17" fillId="5" borderId="1" xfId="1" applyFont="1" applyFill="1" applyBorder="1" applyAlignment="1">
      <alignment horizontal="left" vertical="center" wrapText="1"/>
    </xf>
    <xf numFmtId="0" fontId="17" fillId="5" borderId="0" xfId="1" applyFont="1" applyFill="1" applyBorder="1" applyAlignment="1">
      <alignment horizontal="left" vertical="center" wrapText="1"/>
    </xf>
    <xf numFmtId="49" fontId="18" fillId="5" borderId="0" xfId="2" applyNumberFormat="1" applyFont="1" applyFill="1" applyBorder="1" applyAlignment="1">
      <alignment vertical="center"/>
    </xf>
    <xf numFmtId="49" fontId="18" fillId="5" borderId="10" xfId="2" applyNumberFormat="1" applyFont="1" applyFill="1" applyBorder="1" applyAlignment="1">
      <alignment vertical="center"/>
    </xf>
    <xf numFmtId="49" fontId="18" fillId="5" borderId="11" xfId="2" applyNumberFormat="1" applyFont="1" applyFill="1" applyBorder="1" applyAlignment="1">
      <alignment vertical="center"/>
    </xf>
    <xf numFmtId="0" fontId="17" fillId="5" borderId="7" xfId="1" applyFont="1" applyFill="1" applyBorder="1" applyAlignment="1">
      <alignment horizontal="left" vertical="center"/>
    </xf>
    <xf numFmtId="0" fontId="17" fillId="5" borderId="5" xfId="1" applyFont="1" applyFill="1" applyBorder="1" applyAlignment="1">
      <alignment horizontal="left" vertical="center"/>
    </xf>
    <xf numFmtId="0" fontId="18" fillId="5" borderId="5" xfId="1" applyFont="1" applyFill="1" applyBorder="1" applyAlignment="1">
      <alignment vertical="center"/>
    </xf>
    <xf numFmtId="165" fontId="17" fillId="5" borderId="5" xfId="2" applyFont="1" applyFill="1" applyBorder="1" applyAlignment="1"/>
    <xf numFmtId="0" fontId="0" fillId="0" borderId="0" xfId="0" applyAlignment="1">
      <alignment vertical="top"/>
    </xf>
    <xf numFmtId="164" fontId="0" fillId="0" borderId="0" xfId="0" applyNumberFormat="1"/>
    <xf numFmtId="14" fontId="18" fillId="5" borderId="14" xfId="1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5" borderId="0" xfId="1" applyFont="1" applyFill="1" applyBorder="1" applyAlignment="1"/>
    <xf numFmtId="165" fontId="23" fillId="5" borderId="3" xfId="2" applyFont="1" applyFill="1" applyBorder="1" applyAlignment="1">
      <alignment horizontal="center" vertical="center" wrapText="1"/>
    </xf>
    <xf numFmtId="49" fontId="24" fillId="5" borderId="3" xfId="2" applyNumberFormat="1" applyFont="1" applyFill="1" applyBorder="1" applyAlignment="1">
      <alignment horizontal="center" vertical="center" wrapText="1"/>
    </xf>
    <xf numFmtId="165" fontId="22" fillId="12" borderId="3" xfId="2" applyFont="1" applyFill="1" applyBorder="1" applyAlignment="1">
      <alignment horizontal="center" vertical="center" wrapText="1"/>
    </xf>
    <xf numFmtId="0" fontId="0" fillId="5" borderId="0" xfId="0" applyFill="1"/>
    <xf numFmtId="0" fontId="2" fillId="5" borderId="0" xfId="1" applyFont="1" applyFill="1" applyBorder="1" applyAlignment="1">
      <alignment horizontal="left"/>
    </xf>
    <xf numFmtId="0" fontId="2" fillId="5" borderId="0" xfId="1" applyFont="1" applyFill="1" applyAlignment="1">
      <alignment wrapText="1"/>
    </xf>
    <xf numFmtId="0" fontId="2" fillId="5" borderId="0" xfId="1" applyFont="1" applyFill="1" applyAlignment="1">
      <alignment horizontal="center"/>
    </xf>
    <xf numFmtId="165" fontId="2" fillId="5" borderId="0" xfId="2" applyFont="1" applyFill="1" applyAlignment="1">
      <alignment horizontal="center"/>
    </xf>
    <xf numFmtId="165" fontId="2" fillId="5" borderId="0" xfId="2" applyFont="1" applyFill="1" applyAlignment="1"/>
    <xf numFmtId="0" fontId="5" fillId="5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165" fontId="1" fillId="0" borderId="7" xfId="2" applyFont="1" applyBorder="1" applyAlignment="1">
      <alignment vertical="center"/>
    </xf>
    <xf numFmtId="165" fontId="1" fillId="0" borderId="5" xfId="2" applyFont="1" applyBorder="1" applyAlignment="1">
      <alignment vertical="center"/>
    </xf>
    <xf numFmtId="0" fontId="5" fillId="5" borderId="0" xfId="1" applyFont="1" applyFill="1" applyBorder="1" applyAlignment="1">
      <alignment horizontal="center"/>
    </xf>
    <xf numFmtId="0" fontId="19" fillId="9" borderId="0" xfId="0" applyFont="1" applyFill="1"/>
    <xf numFmtId="4" fontId="25" fillId="9" borderId="3" xfId="0" applyNumberFormat="1" applyFont="1" applyFill="1" applyBorder="1" applyAlignment="1">
      <alignment horizontal="center" vertical="center"/>
    </xf>
    <xf numFmtId="4" fontId="25" fillId="9" borderId="3" xfId="0" applyNumberFormat="1" applyFont="1" applyFill="1" applyBorder="1" applyAlignment="1">
      <alignment horizontal="center" vertical="center" wrapText="1"/>
    </xf>
    <xf numFmtId="165" fontId="23" fillId="13" borderId="3" xfId="2" applyFont="1" applyFill="1" applyBorder="1" applyAlignment="1">
      <alignment horizontal="center" vertical="center" wrapText="1"/>
    </xf>
    <xf numFmtId="0" fontId="19" fillId="8" borderId="0" xfId="0" applyFont="1" applyFill="1"/>
    <xf numFmtId="0" fontId="19" fillId="0" borderId="0" xfId="0" applyFont="1" applyAlignment="1">
      <alignment vertical="center"/>
    </xf>
    <xf numFmtId="0" fontId="19" fillId="8" borderId="0" xfId="0" applyFont="1" applyFill="1" applyAlignment="1">
      <alignment vertical="center"/>
    </xf>
    <xf numFmtId="0" fontId="19" fillId="7" borderId="0" xfId="0" applyFont="1" applyFill="1" applyAlignment="1">
      <alignment vertical="center"/>
    </xf>
    <xf numFmtId="0" fontId="19" fillId="9" borderId="0" xfId="0" applyFont="1" applyFill="1" applyAlignment="1">
      <alignment vertical="center"/>
    </xf>
    <xf numFmtId="0" fontId="19" fillId="8" borderId="16" xfId="0" applyFont="1" applyFill="1" applyBorder="1"/>
    <xf numFmtId="0" fontId="19" fillId="0" borderId="16" xfId="0" applyFont="1" applyBorder="1"/>
    <xf numFmtId="0" fontId="19" fillId="0" borderId="16" xfId="0" applyFont="1" applyBorder="1" applyAlignment="1">
      <alignment vertical="center"/>
    </xf>
    <xf numFmtId="0" fontId="19" fillId="8" borderId="16" xfId="0" applyFont="1" applyFill="1" applyBorder="1" applyAlignment="1">
      <alignment vertical="center"/>
    </xf>
    <xf numFmtId="0" fontId="19" fillId="7" borderId="16" xfId="0" applyFont="1" applyFill="1" applyBorder="1"/>
    <xf numFmtId="0" fontId="19" fillId="13" borderId="16" xfId="0" applyFont="1" applyFill="1" applyBorder="1"/>
    <xf numFmtId="0" fontId="18" fillId="0" borderId="16" xfId="0" applyFont="1" applyFill="1" applyBorder="1"/>
    <xf numFmtId="0" fontId="19" fillId="13" borderId="16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6" xfId="0" applyFont="1" applyBorder="1" applyAlignment="1">
      <alignment wrapText="1"/>
    </xf>
    <xf numFmtId="0" fontId="18" fillId="0" borderId="0" xfId="0" applyFont="1" applyAlignment="1">
      <alignment vertical="center"/>
    </xf>
    <xf numFmtId="0" fontId="19" fillId="5" borderId="13" xfId="0" applyFont="1" applyFill="1" applyBorder="1" applyAlignment="1">
      <alignment horizontal="right"/>
    </xf>
    <xf numFmtId="44" fontId="25" fillId="0" borderId="3" xfId="5" applyFont="1" applyFill="1" applyBorder="1" applyAlignment="1">
      <alignment vertical="center"/>
    </xf>
    <xf numFmtId="10" fontId="25" fillId="0" borderId="3" xfId="6" applyNumberFormat="1" applyFont="1" applyFill="1" applyBorder="1" applyAlignment="1">
      <alignment vertical="center"/>
    </xf>
    <xf numFmtId="165" fontId="23" fillId="5" borderId="10" xfId="2" applyFont="1" applyFill="1" applyBorder="1" applyAlignment="1">
      <alignment horizontal="center" vertical="center" wrapText="1"/>
    </xf>
    <xf numFmtId="0" fontId="32" fillId="0" borderId="0" xfId="0" applyFont="1"/>
    <xf numFmtId="0" fontId="24" fillId="0" borderId="0" xfId="0" applyFont="1" applyAlignment="1">
      <alignment vertical="center"/>
    </xf>
    <xf numFmtId="44" fontId="25" fillId="13" borderId="3" xfId="5" applyFont="1" applyFill="1" applyBorder="1" applyAlignment="1">
      <alignment vertical="center"/>
    </xf>
    <xf numFmtId="44" fontId="25" fillId="12" borderId="3" xfId="5" applyFont="1" applyFill="1" applyBorder="1" applyAlignment="1">
      <alignment vertical="center"/>
    </xf>
    <xf numFmtId="10" fontId="25" fillId="12" borderId="3" xfId="6" applyNumberFormat="1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34" fillId="5" borderId="2" xfId="0" applyFont="1" applyFill="1" applyBorder="1" applyAlignment="1">
      <alignment horizontal="left" vertical="center"/>
    </xf>
    <xf numFmtId="0" fontId="35" fillId="5" borderId="0" xfId="0" applyFont="1" applyFill="1" applyAlignment="1">
      <alignment horizontal="left" vertical="center"/>
    </xf>
    <xf numFmtId="0" fontId="34" fillId="5" borderId="4" xfId="0" applyFont="1" applyFill="1" applyBorder="1" applyAlignment="1">
      <alignment horizontal="left" vertical="center"/>
    </xf>
    <xf numFmtId="0" fontId="36" fillId="5" borderId="0" xfId="0" applyFont="1" applyFill="1"/>
    <xf numFmtId="0" fontId="37" fillId="5" borderId="0" xfId="0" applyFont="1" applyFill="1" applyAlignment="1">
      <alignment horizontal="center" vertical="center"/>
    </xf>
    <xf numFmtId="0" fontId="34" fillId="5" borderId="1" xfId="0" applyFont="1" applyFill="1" applyBorder="1" applyAlignment="1">
      <alignment vertical="center"/>
    </xf>
    <xf numFmtId="0" fontId="34" fillId="5" borderId="0" xfId="0" applyFont="1" applyFill="1" applyAlignment="1">
      <alignment vertical="center"/>
    </xf>
    <xf numFmtId="0" fontId="34" fillId="5" borderId="1" xfId="0" applyFont="1" applyFill="1" applyBorder="1" applyAlignment="1">
      <alignment horizontal="left" vertical="center"/>
    </xf>
    <xf numFmtId="0" fontId="34" fillId="5" borderId="0" xfId="0" applyFont="1" applyFill="1" applyAlignment="1">
      <alignment horizontal="left" vertical="center"/>
    </xf>
    <xf numFmtId="0" fontId="38" fillId="5" borderId="0" xfId="0" applyFont="1" applyFill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38" fillId="15" borderId="5" xfId="0" applyFont="1" applyFill="1" applyBorder="1" applyAlignment="1">
      <alignment horizontal="left" vertical="center"/>
    </xf>
    <xf numFmtId="0" fontId="38" fillId="0" borderId="0" xfId="0" applyFont="1" applyAlignment="1" applyProtection="1">
      <alignment horizontal="left" vertical="center"/>
      <protection locked="0"/>
    </xf>
    <xf numFmtId="0" fontId="39" fillId="5" borderId="0" xfId="0" applyFont="1" applyFill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39" fillId="16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38" fillId="5" borderId="5" xfId="0" applyFont="1" applyFill="1" applyBorder="1" applyAlignment="1">
      <alignment horizontal="left" vertical="center"/>
    </xf>
    <xf numFmtId="0" fontId="0" fillId="5" borderId="8" xfId="0" applyFill="1" applyBorder="1" applyAlignment="1">
      <alignment vertical="center"/>
    </xf>
    <xf numFmtId="0" fontId="34" fillId="5" borderId="0" xfId="0" applyFont="1" applyFill="1" applyAlignment="1">
      <alignment horizontal="center" vertical="center"/>
    </xf>
    <xf numFmtId="0" fontId="40" fillId="5" borderId="0" xfId="0" applyFont="1" applyFill="1" applyAlignment="1">
      <alignment horizontal="center" vertical="center"/>
    </xf>
    <xf numFmtId="0" fontId="34" fillId="17" borderId="13" xfId="0" applyFont="1" applyFill="1" applyBorder="1" applyAlignment="1">
      <alignment horizontal="center" vertical="center"/>
    </xf>
    <xf numFmtId="0" fontId="34" fillId="17" borderId="13" xfId="0" applyFont="1" applyFill="1" applyBorder="1" applyAlignment="1">
      <alignment vertical="center"/>
    </xf>
    <xf numFmtId="0" fontId="34" fillId="17" borderId="14" xfId="0" applyFont="1" applyFill="1" applyBorder="1" applyAlignment="1">
      <alignment horizontal="center" vertical="center" wrapText="1"/>
    </xf>
    <xf numFmtId="0" fontId="34" fillId="18" borderId="0" xfId="0" applyFont="1" applyFill="1" applyAlignment="1">
      <alignment horizontal="center" vertical="center"/>
    </xf>
    <xf numFmtId="0" fontId="38" fillId="17" borderId="0" xfId="0" applyFont="1" applyFill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34" fillId="18" borderId="18" xfId="0" applyFont="1" applyFill="1" applyBorder="1" applyAlignment="1">
      <alignment horizontal="left" vertical="center"/>
    </xf>
    <xf numFmtId="0" fontId="34" fillId="18" borderId="8" xfId="0" applyFont="1" applyFill="1" applyBorder="1" applyAlignment="1">
      <alignment horizontal="left" vertical="center"/>
    </xf>
    <xf numFmtId="0" fontId="40" fillId="0" borderId="4" xfId="0" applyFont="1" applyBorder="1" applyAlignment="1">
      <alignment horizontal="center" vertical="center"/>
    </xf>
    <xf numFmtId="0" fontId="34" fillId="15" borderId="3" xfId="0" applyFont="1" applyFill="1" applyBorder="1" applyAlignment="1" applyProtection="1">
      <alignment horizontal="center" vertical="center"/>
      <protection locked="0"/>
    </xf>
    <xf numFmtId="0" fontId="34" fillId="15" borderId="10" xfId="0" applyFont="1" applyFill="1" applyBorder="1" applyAlignment="1" applyProtection="1">
      <alignment horizontal="center" vertical="center"/>
      <protection locked="0"/>
    </xf>
    <xf numFmtId="0" fontId="34" fillId="15" borderId="19" xfId="0" applyFont="1" applyFill="1" applyBorder="1" applyAlignment="1" applyProtection="1">
      <alignment horizontal="left" vertical="center"/>
      <protection locked="0"/>
    </xf>
    <xf numFmtId="0" fontId="34" fillId="15" borderId="11" xfId="0" applyFont="1" applyFill="1" applyBorder="1" applyAlignment="1" applyProtection="1">
      <alignment horizontal="left" vertical="center"/>
      <protection locked="0"/>
    </xf>
    <xf numFmtId="170" fontId="34" fillId="19" borderId="3" xfId="8" applyFont="1" applyFill="1" applyBorder="1" applyAlignment="1" applyProtection="1">
      <alignment horizontal="right" vertical="center"/>
      <protection locked="0"/>
    </xf>
    <xf numFmtId="170" fontId="41" fillId="19" borderId="3" xfId="8" applyFont="1" applyFill="1" applyBorder="1" applyAlignment="1" applyProtection="1">
      <alignment horizontal="right" vertical="center"/>
      <protection locked="0"/>
    </xf>
    <xf numFmtId="10" fontId="34" fillId="15" borderId="3" xfId="6" applyNumberFormat="1" applyFont="1" applyFill="1" applyBorder="1" applyAlignment="1" applyProtection="1">
      <alignment horizontal="center" vertical="center"/>
      <protection locked="0"/>
    </xf>
    <xf numFmtId="170" fontId="34" fillId="15" borderId="3" xfId="8" applyFont="1" applyFill="1" applyBorder="1" applyAlignment="1" applyProtection="1">
      <alignment horizontal="right" vertical="center"/>
      <protection locked="0"/>
    </xf>
    <xf numFmtId="10" fontId="34" fillId="19" borderId="3" xfId="6" applyNumberFormat="1" applyFont="1" applyFill="1" applyBorder="1" applyAlignment="1" applyProtection="1">
      <alignment horizontal="center" vertical="center"/>
      <protection locked="0"/>
    </xf>
    <xf numFmtId="10" fontId="34" fillId="0" borderId="3" xfId="6" applyNumberFormat="1" applyFont="1" applyBorder="1" applyAlignment="1" applyProtection="1">
      <alignment horizontal="center" vertical="center"/>
      <protection locked="0"/>
    </xf>
    <xf numFmtId="44" fontId="34" fillId="15" borderId="9" xfId="0" applyNumberFormat="1" applyFont="1" applyFill="1" applyBorder="1" applyAlignment="1" applyProtection="1">
      <alignment horizontal="left" vertical="center"/>
      <protection locked="0"/>
    </xf>
    <xf numFmtId="4" fontId="34" fillId="15" borderId="3" xfId="0" applyNumberFormat="1" applyFont="1" applyFill="1" applyBorder="1" applyAlignment="1" applyProtection="1">
      <alignment horizontal="center" vertical="center"/>
      <protection locked="0"/>
    </xf>
    <xf numFmtId="0" fontId="34" fillId="21" borderId="3" xfId="0" applyFont="1" applyFill="1" applyBorder="1" applyAlignment="1" applyProtection="1">
      <alignment horizontal="center" vertical="center"/>
      <protection locked="0"/>
    </xf>
    <xf numFmtId="0" fontId="34" fillId="17" borderId="9" xfId="0" applyFont="1" applyFill="1" applyBorder="1" applyAlignment="1" applyProtection="1">
      <alignment horizontal="center" vertical="center"/>
      <protection locked="0"/>
    </xf>
    <xf numFmtId="0" fontId="34" fillId="17" borderId="10" xfId="0" applyFont="1" applyFill="1" applyBorder="1" applyAlignment="1" applyProtection="1">
      <alignment horizontal="center" vertical="center"/>
      <protection locked="0"/>
    </xf>
    <xf numFmtId="0" fontId="38" fillId="17" borderId="10" xfId="0" applyFont="1" applyFill="1" applyBorder="1" applyAlignment="1" applyProtection="1">
      <alignment horizontal="right" vertical="center"/>
      <protection locked="0"/>
    </xf>
    <xf numFmtId="0" fontId="34" fillId="17" borderId="19" xfId="0" applyFont="1" applyFill="1" applyBorder="1" applyAlignment="1" applyProtection="1">
      <alignment horizontal="right" vertical="center"/>
      <protection locked="0"/>
    </xf>
    <xf numFmtId="0" fontId="34" fillId="17" borderId="11" xfId="0" applyFont="1" applyFill="1" applyBorder="1" applyAlignment="1" applyProtection="1">
      <alignment horizontal="right" vertical="center"/>
      <protection locked="0"/>
    </xf>
    <xf numFmtId="170" fontId="38" fillId="17" borderId="3" xfId="8" applyFont="1" applyFill="1" applyBorder="1" applyAlignment="1" applyProtection="1">
      <alignment horizontal="right" vertical="center"/>
      <protection locked="0"/>
    </xf>
    <xf numFmtId="0" fontId="34" fillId="22" borderId="12" xfId="0" applyFont="1" applyFill="1" applyBorder="1" applyAlignment="1" applyProtection="1">
      <alignment horizontal="center" vertical="center"/>
      <protection locked="0"/>
    </xf>
    <xf numFmtId="0" fontId="34" fillId="17" borderId="15" xfId="0" applyFont="1" applyFill="1" applyBorder="1" applyAlignment="1" applyProtection="1">
      <alignment horizontal="center" vertical="center"/>
      <protection locked="0"/>
    </xf>
    <xf numFmtId="0" fontId="34" fillId="5" borderId="13" xfId="0" applyFont="1" applyFill="1" applyBorder="1" applyAlignment="1">
      <alignment vertical="center"/>
    </xf>
    <xf numFmtId="0" fontId="34" fillId="5" borderId="13" xfId="0" applyFont="1" applyFill="1" applyBorder="1" applyAlignment="1">
      <alignment horizontal="right" vertical="center"/>
    </xf>
    <xf numFmtId="165" fontId="42" fillId="5" borderId="13" xfId="0" applyNumberFormat="1" applyFont="1" applyFill="1" applyBorder="1" applyAlignment="1">
      <alignment vertical="center"/>
    </xf>
    <xf numFmtId="170" fontId="43" fillId="5" borderId="13" xfId="8" applyFont="1" applyFill="1" applyBorder="1" applyAlignment="1">
      <alignment horizontal="right" vertical="center"/>
    </xf>
    <xf numFmtId="0" fontId="34" fillId="22" borderId="2" xfId="0" applyFont="1" applyFill="1" applyBorder="1" applyAlignment="1">
      <alignment horizontal="center" vertical="center"/>
    </xf>
    <xf numFmtId="0" fontId="34" fillId="17" borderId="2" xfId="0" applyFont="1" applyFill="1" applyBorder="1" applyAlignment="1">
      <alignment horizontal="center" vertical="center"/>
    </xf>
    <xf numFmtId="0" fontId="34" fillId="5" borderId="0" xfId="0" applyFont="1" applyFill="1" applyAlignment="1">
      <alignment horizontal="right" vertical="center"/>
    </xf>
    <xf numFmtId="44" fontId="34" fillId="5" borderId="0" xfId="0" applyNumberFormat="1" applyFont="1" applyFill="1" applyAlignment="1">
      <alignment vertical="center"/>
    </xf>
    <xf numFmtId="170" fontId="43" fillId="5" borderId="0" xfId="8" applyFont="1" applyFill="1" applyAlignment="1">
      <alignment horizontal="right" vertical="center"/>
    </xf>
    <xf numFmtId="165" fontId="42" fillId="22" borderId="12" xfId="0" applyNumberFormat="1" applyFont="1" applyFill="1" applyBorder="1" applyAlignment="1">
      <alignment vertical="center"/>
    </xf>
    <xf numFmtId="165" fontId="42" fillId="22" borderId="13" xfId="0" applyNumberFormat="1" applyFont="1" applyFill="1" applyBorder="1" applyAlignment="1">
      <alignment vertical="center"/>
    </xf>
    <xf numFmtId="0" fontId="34" fillId="22" borderId="13" xfId="0" applyFont="1" applyFill="1" applyBorder="1" applyAlignment="1">
      <alignment horizontal="right" vertical="center"/>
    </xf>
    <xf numFmtId="0" fontId="34" fillId="22" borderId="0" xfId="0" applyFont="1" applyFill="1" applyAlignment="1">
      <alignment horizontal="center" vertical="center"/>
    </xf>
    <xf numFmtId="10" fontId="6" fillId="5" borderId="0" xfId="6" applyNumberFormat="1" applyFill="1" applyAlignment="1">
      <alignment vertical="center"/>
    </xf>
    <xf numFmtId="0" fontId="43" fillId="5" borderId="0" xfId="0" applyFont="1" applyFill="1" applyAlignment="1">
      <alignment vertical="center"/>
    </xf>
    <xf numFmtId="0" fontId="34" fillId="22" borderId="7" xfId="0" applyFont="1" applyFill="1" applyBorder="1" applyAlignment="1">
      <alignment vertical="center"/>
    </xf>
    <xf numFmtId="0" fontId="34" fillId="22" borderId="5" xfId="0" applyFont="1" applyFill="1" applyBorder="1" applyAlignment="1">
      <alignment vertical="center"/>
    </xf>
    <xf numFmtId="0" fontId="34" fillId="22" borderId="5" xfId="0" applyFont="1" applyFill="1" applyBorder="1" applyAlignment="1">
      <alignment horizontal="right" vertical="center"/>
    </xf>
    <xf numFmtId="0" fontId="0" fillId="5" borderId="0" xfId="0" applyFill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34" fillId="17" borderId="9" xfId="0" applyFont="1" applyFill="1" applyBorder="1" applyAlignment="1">
      <alignment vertical="center"/>
    </xf>
    <xf numFmtId="0" fontId="34" fillId="17" borderId="10" xfId="0" applyFont="1" applyFill="1" applyBorder="1" applyAlignment="1">
      <alignment vertical="center"/>
    </xf>
    <xf numFmtId="0" fontId="34" fillId="17" borderId="10" xfId="0" applyFont="1" applyFill="1" applyBorder="1" applyAlignment="1">
      <alignment horizontal="right" vertical="center"/>
    </xf>
    <xf numFmtId="0" fontId="34" fillId="17" borderId="8" xfId="0" applyFont="1" applyFill="1" applyBorder="1" applyAlignment="1">
      <alignment vertical="center"/>
    </xf>
    <xf numFmtId="0" fontId="33" fillId="5" borderId="0" xfId="0" applyFont="1" applyFill="1"/>
    <xf numFmtId="0" fontId="44" fillId="5" borderId="0" xfId="0" applyFont="1" applyFill="1"/>
    <xf numFmtId="0" fontId="3" fillId="5" borderId="22" xfId="0" applyFont="1" applyFill="1" applyBorder="1" applyAlignment="1">
      <alignment vertical="center" wrapText="1"/>
    </xf>
    <xf numFmtId="0" fontId="46" fillId="5" borderId="24" xfId="0" applyFont="1" applyFill="1" applyBorder="1" applyAlignment="1">
      <alignment vertical="center"/>
    </xf>
    <xf numFmtId="0" fontId="2" fillId="5" borderId="25" xfId="0" applyFont="1" applyFill="1" applyBorder="1" applyAlignment="1">
      <alignment vertical="center"/>
    </xf>
    <xf numFmtId="0" fontId="2" fillId="5" borderId="25" xfId="0" applyFont="1" applyFill="1" applyBorder="1" applyAlignment="1">
      <alignment vertical="center" wrapText="1"/>
    </xf>
    <xf numFmtId="0" fontId="47" fillId="5" borderId="13" xfId="0" applyFont="1" applyFill="1" applyBorder="1"/>
    <xf numFmtId="0" fontId="47" fillId="5" borderId="0" xfId="0" applyFont="1" applyFill="1"/>
    <xf numFmtId="0" fontId="4" fillId="5" borderId="0" xfId="0" applyFont="1" applyFill="1" applyAlignment="1">
      <alignment horizontal="left" vertical="center"/>
    </xf>
    <xf numFmtId="0" fontId="18" fillId="5" borderId="13" xfId="1" applyFont="1" applyFill="1" applyBorder="1" applyAlignment="1">
      <alignment horizontal="center" vertical="center"/>
    </xf>
    <xf numFmtId="43" fontId="34" fillId="5" borderId="0" xfId="0" applyNumberFormat="1" applyFont="1" applyFill="1" applyAlignment="1">
      <alignment vertical="center"/>
    </xf>
    <xf numFmtId="0" fontId="34" fillId="17" borderId="7" xfId="0" applyFont="1" applyFill="1" applyBorder="1" applyAlignment="1">
      <alignment horizontal="center" vertical="center"/>
    </xf>
    <xf numFmtId="0" fontId="17" fillId="5" borderId="0" xfId="1" applyFont="1" applyFill="1" applyBorder="1" applyAlignment="1">
      <alignment vertical="center"/>
    </xf>
    <xf numFmtId="165" fontId="18" fillId="5" borderId="0" xfId="2" applyFont="1" applyFill="1" applyBorder="1" applyAlignment="1">
      <alignment vertical="center"/>
    </xf>
    <xf numFmtId="165" fontId="50" fillId="5" borderId="0" xfId="2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/>
    <xf numFmtId="0" fontId="54" fillId="24" borderId="27" xfId="0" applyFont="1" applyFill="1" applyBorder="1" applyAlignment="1">
      <alignment horizontal="center" vertical="center" wrapText="1"/>
    </xf>
    <xf numFmtId="9" fontId="51" fillId="25" borderId="28" xfId="0" applyNumberFormat="1" applyFont="1" applyFill="1" applyBorder="1" applyAlignment="1">
      <alignment vertical="center" wrapText="1"/>
    </xf>
    <xf numFmtId="0" fontId="55" fillId="25" borderId="28" xfId="0" applyFont="1" applyFill="1" applyBorder="1" applyAlignment="1">
      <alignment vertical="top" wrapText="1"/>
    </xf>
    <xf numFmtId="4" fontId="51" fillId="25" borderId="30" xfId="0" applyNumberFormat="1" applyFont="1" applyFill="1" applyBorder="1" applyAlignment="1">
      <alignment vertical="center" wrapText="1"/>
    </xf>
    <xf numFmtId="0" fontId="55" fillId="25" borderId="29" xfId="0" applyFont="1" applyFill="1" applyBorder="1" applyAlignment="1">
      <alignment vertical="top" wrapText="1"/>
    </xf>
    <xf numFmtId="9" fontId="51" fillId="25" borderId="31" xfId="0" applyNumberFormat="1" applyFont="1" applyFill="1" applyBorder="1" applyAlignment="1">
      <alignment vertical="center" wrapText="1"/>
    </xf>
    <xf numFmtId="9" fontId="51" fillId="25" borderId="31" xfId="6" applyFont="1" applyFill="1" applyBorder="1" applyAlignment="1">
      <alignment vertical="center" wrapText="1"/>
    </xf>
    <xf numFmtId="0" fontId="55" fillId="25" borderId="31" xfId="0" applyFont="1" applyFill="1" applyBorder="1" applyAlignment="1">
      <alignment vertical="top" wrapText="1"/>
    </xf>
    <xf numFmtId="0" fontId="55" fillId="25" borderId="32" xfId="0" applyFont="1" applyFill="1" applyBorder="1" applyAlignment="1">
      <alignment vertical="top" wrapText="1"/>
    </xf>
    <xf numFmtId="0" fontId="55" fillId="25" borderId="33" xfId="0" applyFont="1" applyFill="1" applyBorder="1" applyAlignment="1">
      <alignment vertical="top" wrapText="1"/>
    </xf>
    <xf numFmtId="9" fontId="51" fillId="25" borderId="28" xfId="6" applyFont="1" applyFill="1" applyBorder="1" applyAlignment="1">
      <alignment vertical="center" wrapText="1"/>
    </xf>
    <xf numFmtId="0" fontId="57" fillId="24" borderId="0" xfId="0" applyFont="1" applyFill="1" applyAlignment="1">
      <alignment horizontal="left" vertical="top" wrapText="1"/>
    </xf>
    <xf numFmtId="10" fontId="57" fillId="24" borderId="0" xfId="0" applyNumberFormat="1" applyFont="1" applyFill="1" applyAlignment="1">
      <alignment horizontal="right" vertical="top" wrapText="1"/>
    </xf>
    <xf numFmtId="10" fontId="57" fillId="24" borderId="0" xfId="6" applyNumberFormat="1" applyFont="1" applyFill="1" applyAlignment="1">
      <alignment horizontal="right" vertical="top" wrapText="1"/>
    </xf>
    <xf numFmtId="4" fontId="57" fillId="24" borderId="0" xfId="0" applyNumberFormat="1" applyFont="1" applyFill="1" applyAlignment="1">
      <alignment horizontal="right" vertical="top" wrapText="1"/>
    </xf>
    <xf numFmtId="4" fontId="58" fillId="24" borderId="0" xfId="0" applyNumberFormat="1" applyFont="1" applyFill="1" applyAlignment="1">
      <alignment horizontal="left" vertical="top" wrapText="1"/>
    </xf>
    <xf numFmtId="0" fontId="59" fillId="24" borderId="0" xfId="0" applyFont="1" applyFill="1" applyAlignment="1">
      <alignment horizontal="center" vertical="top" wrapText="1"/>
    </xf>
    <xf numFmtId="0" fontId="54" fillId="24" borderId="0" xfId="0" applyFont="1" applyFill="1" applyAlignment="1">
      <alignment horizontal="left" vertical="top" wrapText="1"/>
    </xf>
    <xf numFmtId="0" fontId="57" fillId="24" borderId="0" xfId="0" applyFont="1" applyFill="1" applyBorder="1" applyAlignment="1">
      <alignment horizontal="center" vertical="top" wrapText="1"/>
    </xf>
    <xf numFmtId="0" fontId="34" fillId="18" borderId="26" xfId="0" applyFont="1" applyFill="1" applyBorder="1" applyAlignment="1">
      <alignment horizontal="center" vertical="center"/>
    </xf>
    <xf numFmtId="0" fontId="34" fillId="17" borderId="3" xfId="0" applyFont="1" applyFill="1" applyBorder="1" applyAlignment="1">
      <alignment horizontal="center" vertical="center"/>
    </xf>
    <xf numFmtId="0" fontId="34" fillId="19" borderId="3" xfId="0" applyFont="1" applyFill="1" applyBorder="1" applyAlignment="1">
      <alignment horizontal="center" vertical="center"/>
    </xf>
    <xf numFmtId="0" fontId="34" fillId="20" borderId="3" xfId="0" applyFont="1" applyFill="1" applyBorder="1" applyAlignment="1">
      <alignment horizontal="center" vertical="center"/>
    </xf>
    <xf numFmtId="49" fontId="25" fillId="8" borderId="3" xfId="0" applyNumberFormat="1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right" vertical="center"/>
    </xf>
    <xf numFmtId="0" fontId="25" fillId="8" borderId="3" xfId="0" applyFont="1" applyFill="1" applyBorder="1" applyAlignment="1">
      <alignment horizontal="right" vertical="center"/>
    </xf>
    <xf numFmtId="49" fontId="25" fillId="8" borderId="3" xfId="0" applyNumberFormat="1" applyFont="1" applyFill="1" applyBorder="1" applyAlignment="1">
      <alignment horizontal="right" vertical="center"/>
    </xf>
    <xf numFmtId="49" fontId="25" fillId="8" borderId="3" xfId="0" applyNumberFormat="1" applyFont="1" applyFill="1" applyBorder="1" applyAlignment="1">
      <alignment horizontal="left" vertical="center"/>
    </xf>
    <xf numFmtId="0" fontId="19" fillId="7" borderId="3" xfId="0" applyFont="1" applyFill="1" applyBorder="1" applyAlignment="1">
      <alignment horizontal="right" vertical="center"/>
    </xf>
    <xf numFmtId="4" fontId="25" fillId="7" borderId="3" xfId="0" applyNumberFormat="1" applyFont="1" applyFill="1" applyBorder="1" applyAlignment="1">
      <alignment horizontal="right" vertical="center"/>
    </xf>
    <xf numFmtId="0" fontId="19" fillId="8" borderId="3" xfId="0" applyFont="1" applyFill="1" applyBorder="1" applyAlignment="1">
      <alignment horizontal="right" vertical="center"/>
    </xf>
    <xf numFmtId="4" fontId="19" fillId="8" borderId="3" xfId="0" applyNumberFormat="1" applyFont="1" applyFill="1" applyBorder="1" applyAlignment="1">
      <alignment horizontal="right" vertical="center"/>
    </xf>
    <xf numFmtId="0" fontId="25" fillId="8" borderId="3" xfId="0" applyFont="1" applyFill="1" applyBorder="1" applyAlignment="1">
      <alignment horizontal="left"/>
    </xf>
    <xf numFmtId="0" fontId="25" fillId="7" borderId="3" xfId="0" applyFont="1" applyFill="1" applyBorder="1" applyAlignment="1">
      <alignment horizontal="center" vertical="center"/>
    </xf>
    <xf numFmtId="44" fontId="25" fillId="7" borderId="3" xfId="5" applyFont="1" applyFill="1" applyBorder="1" applyAlignment="1">
      <alignment horizontal="right" vertical="center"/>
    </xf>
    <xf numFmtId="44" fontId="25" fillId="8" borderId="3" xfId="5" applyFont="1" applyFill="1" applyBorder="1" applyAlignment="1">
      <alignment horizontal="right" vertical="center"/>
    </xf>
    <xf numFmtId="0" fontId="19" fillId="26" borderId="0" xfId="0" applyFont="1" applyFill="1" applyAlignment="1">
      <alignment vertical="center"/>
    </xf>
    <xf numFmtId="171" fontId="25" fillId="8" borderId="3" xfId="0" applyNumberFormat="1" applyFont="1" applyFill="1" applyBorder="1" applyAlignment="1">
      <alignment horizontal="right" vertical="center"/>
    </xf>
    <xf numFmtId="0" fontId="61" fillId="0" borderId="0" xfId="0" applyFont="1" applyBorder="1" applyAlignment="1">
      <alignment horizontal="center" vertical="center"/>
    </xf>
    <xf numFmtId="164" fontId="60" fillId="0" borderId="0" xfId="0" applyNumberFormat="1" applyFont="1" applyBorder="1" applyAlignment="1">
      <alignment horizontal="center" vertical="center"/>
    </xf>
    <xf numFmtId="0" fontId="5" fillId="5" borderId="0" xfId="1" applyFont="1" applyFill="1" applyBorder="1" applyAlignment="1">
      <alignment horizontal="center"/>
    </xf>
    <xf numFmtId="0" fontId="25" fillId="9" borderId="3" xfId="0" applyFont="1" applyFill="1" applyBorder="1" applyAlignment="1">
      <alignment horizontal="center" vertical="center" wrapText="1"/>
    </xf>
    <xf numFmtId="0" fontId="18" fillId="5" borderId="13" xfId="1" applyFont="1" applyFill="1" applyBorder="1" applyAlignment="1">
      <alignment horizontal="center" vertical="center"/>
    </xf>
    <xf numFmtId="14" fontId="17" fillId="5" borderId="13" xfId="1" applyNumberFormat="1" applyFont="1" applyFill="1" applyBorder="1" applyAlignment="1">
      <alignment horizontal="center" wrapText="1"/>
    </xf>
    <xf numFmtId="9" fontId="0" fillId="0" borderId="0" xfId="6" applyFont="1"/>
    <xf numFmtId="10" fontId="0" fillId="0" borderId="0" xfId="6" applyNumberFormat="1" applyFont="1"/>
    <xf numFmtId="172" fontId="0" fillId="0" borderId="0" xfId="0" applyNumberFormat="1"/>
    <xf numFmtId="0" fontId="54" fillId="0" borderId="3" xfId="0" applyFont="1" applyFill="1" applyBorder="1" applyAlignment="1">
      <alignment horizontal="center" vertical="center" wrapText="1"/>
    </xf>
    <xf numFmtId="0" fontId="54" fillId="24" borderId="3" xfId="0" applyFont="1" applyFill="1" applyBorder="1" applyAlignment="1">
      <alignment horizontal="center" vertical="center" wrapText="1"/>
    </xf>
    <xf numFmtId="0" fontId="51" fillId="10" borderId="3" xfId="0" applyFont="1" applyFill="1" applyBorder="1" applyAlignment="1">
      <alignment horizontal="center" vertical="center" wrapText="1"/>
    </xf>
    <xf numFmtId="4" fontId="25" fillId="8" borderId="3" xfId="0" applyNumberFormat="1" applyFont="1" applyFill="1" applyBorder="1" applyAlignment="1">
      <alignment horizontal="right" vertical="center"/>
    </xf>
    <xf numFmtId="165" fontId="19" fillId="0" borderId="3" xfId="2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right" vertical="center"/>
    </xf>
    <xf numFmtId="165" fontId="19" fillId="0" borderId="3" xfId="2" applyFont="1" applyFill="1" applyBorder="1" applyAlignment="1">
      <alignment horizontal="right" vertical="center" wrapText="1"/>
    </xf>
    <xf numFmtId="44" fontId="19" fillId="0" borderId="3" xfId="5" applyFont="1" applyFill="1" applyBorder="1" applyAlignment="1">
      <alignment horizontal="right" vertical="center" wrapText="1"/>
    </xf>
    <xf numFmtId="44" fontId="25" fillId="0" borderId="0" xfId="5" applyFont="1" applyFill="1" applyBorder="1" applyAlignment="1">
      <alignment vertical="center"/>
    </xf>
    <xf numFmtId="0" fontId="63" fillId="0" borderId="3" xfId="0" applyFont="1" applyFill="1" applyBorder="1" applyAlignment="1">
      <alignment horizontal="center" vertical="center" wrapText="1"/>
    </xf>
    <xf numFmtId="44" fontId="19" fillId="0" borderId="3" xfId="5" applyNumberFormat="1" applyFont="1" applyFill="1" applyBorder="1" applyAlignment="1">
      <alignment horizontal="right" vertical="center"/>
    </xf>
    <xf numFmtId="44" fontId="19" fillId="0" borderId="3" xfId="5" applyFont="1" applyFill="1" applyBorder="1" applyAlignment="1">
      <alignment horizontal="right" vertical="center"/>
    </xf>
    <xf numFmtId="164" fontId="19" fillId="0" borderId="3" xfId="0" applyNumberFormat="1" applyFont="1" applyFill="1" applyBorder="1" applyAlignment="1">
      <alignment horizontal="right" vertical="center"/>
    </xf>
    <xf numFmtId="44" fontId="52" fillId="0" borderId="3" xfId="5" applyNumberFormat="1" applyFont="1" applyFill="1" applyBorder="1" applyAlignment="1">
      <alignment horizontal="right" vertical="center"/>
    </xf>
    <xf numFmtId="0" fontId="21" fillId="0" borderId="3" xfId="2" applyNumberFormat="1" applyFont="1" applyFill="1" applyBorder="1" applyAlignment="1">
      <alignment horizontal="center" vertical="center" wrapText="1"/>
    </xf>
    <xf numFmtId="165" fontId="21" fillId="0" borderId="3" xfId="2" applyFont="1" applyFill="1" applyBorder="1" applyAlignment="1">
      <alignment horizontal="left" vertical="center" wrapText="1"/>
    </xf>
    <xf numFmtId="2" fontId="26" fillId="0" borderId="3" xfId="5" applyNumberFormat="1" applyFont="1" applyFill="1" applyBorder="1" applyAlignment="1">
      <alignment horizontal="center" vertical="center" wrapText="1"/>
    </xf>
    <xf numFmtId="44" fontId="26" fillId="0" borderId="3" xfId="5" applyFont="1" applyFill="1" applyBorder="1" applyAlignment="1">
      <alignment horizontal="center" vertical="center" wrapText="1"/>
    </xf>
    <xf numFmtId="44" fontId="26" fillId="0" borderId="3" xfId="5" applyFont="1" applyFill="1" applyBorder="1" applyAlignment="1">
      <alignment horizontal="right" vertical="center" wrapText="1"/>
    </xf>
    <xf numFmtId="49" fontId="19" fillId="8" borderId="1" xfId="0" applyNumberFormat="1" applyFont="1" applyFill="1" applyBorder="1" applyAlignment="1">
      <alignment horizontal="center" vertical="center"/>
    </xf>
    <xf numFmtId="0" fontId="53" fillId="28" borderId="3" xfId="0" applyFont="1" applyFill="1" applyBorder="1" applyAlignment="1">
      <alignment vertical="center"/>
    </xf>
    <xf numFmtId="2" fontId="64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174" fontId="18" fillId="5" borderId="0" xfId="2" applyNumberFormat="1" applyFont="1" applyFill="1" applyBorder="1" applyAlignment="1">
      <alignment vertical="center"/>
    </xf>
    <xf numFmtId="44" fontId="19" fillId="11" borderId="3" xfId="5" applyNumberFormat="1" applyFont="1" applyFill="1" applyBorder="1" applyAlignment="1">
      <alignment horizontal="right" vertical="center"/>
    </xf>
    <xf numFmtId="9" fontId="19" fillId="11" borderId="3" xfId="6" applyNumberFormat="1" applyFont="1" applyFill="1" applyBorder="1" applyAlignment="1">
      <alignment horizontal="right" vertical="center"/>
    </xf>
    <xf numFmtId="9" fontId="19" fillId="0" borderId="3" xfId="6" applyNumberFormat="1" applyFont="1" applyFill="1" applyBorder="1" applyAlignment="1">
      <alignment horizontal="center" vertical="center"/>
    </xf>
    <xf numFmtId="44" fontId="63" fillId="8" borderId="12" xfId="0" applyNumberFormat="1" applyFont="1" applyFill="1" applyBorder="1" applyAlignment="1">
      <alignment vertical="center" wrapText="1"/>
    </xf>
    <xf numFmtId="0" fontId="63" fillId="8" borderId="13" xfId="0" applyFont="1" applyFill="1" applyBorder="1" applyAlignment="1">
      <alignment vertical="center" wrapText="1"/>
    </xf>
    <xf numFmtId="0" fontId="63" fillId="8" borderId="14" xfId="0" applyFont="1" applyFill="1" applyBorder="1" applyAlignment="1">
      <alignment vertical="center" wrapText="1"/>
    </xf>
    <xf numFmtId="0" fontId="25" fillId="8" borderId="3" xfId="0" applyFont="1" applyFill="1" applyBorder="1" applyAlignment="1">
      <alignment horizontal="left" vertical="center"/>
    </xf>
    <xf numFmtId="0" fontId="55" fillId="25" borderId="0" xfId="0" applyFont="1" applyFill="1" applyBorder="1" applyAlignment="1">
      <alignment horizontal="center" vertical="center" wrapText="1"/>
    </xf>
    <xf numFmtId="0" fontId="55" fillId="25" borderId="0" xfId="0" applyFont="1" applyFill="1" applyBorder="1" applyAlignment="1">
      <alignment horizontal="left" vertical="center" wrapText="1"/>
    </xf>
    <xf numFmtId="4" fontId="55" fillId="25" borderId="0" xfId="0" applyNumberFormat="1" applyFont="1" applyFill="1" applyBorder="1" applyAlignment="1">
      <alignment horizontal="right" vertical="center" wrapText="1"/>
    </xf>
    <xf numFmtId="0" fontId="55" fillId="25" borderId="0" xfId="0" applyFont="1" applyFill="1" applyBorder="1" applyAlignment="1">
      <alignment vertical="top" wrapText="1"/>
    </xf>
    <xf numFmtId="4" fontId="51" fillId="25" borderId="0" xfId="0" applyNumberFormat="1" applyFont="1" applyFill="1" applyBorder="1" applyAlignment="1">
      <alignment vertical="center" wrapText="1"/>
    </xf>
    <xf numFmtId="10" fontId="25" fillId="13" borderId="3" xfId="6" quotePrefix="1" applyNumberFormat="1" applyFont="1" applyFill="1" applyBorder="1" applyAlignment="1">
      <alignment vertical="center"/>
    </xf>
    <xf numFmtId="0" fontId="5" fillId="5" borderId="0" xfId="1" applyFont="1" applyFill="1" applyBorder="1" applyAlignment="1">
      <alignment horizontal="center"/>
    </xf>
    <xf numFmtId="0" fontId="25" fillId="9" borderId="3" xfId="0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 wrapText="1"/>
    </xf>
    <xf numFmtId="44" fontId="25" fillId="8" borderId="3" xfId="5" applyNumberFormat="1" applyFont="1" applyFill="1" applyBorder="1" applyAlignment="1">
      <alignment horizontal="right" vertical="center"/>
    </xf>
    <xf numFmtId="44" fontId="25" fillId="7" borderId="3" xfId="5" applyNumberFormat="1" applyFont="1" applyFill="1" applyBorder="1" applyAlignment="1">
      <alignment horizontal="right" vertical="center"/>
    </xf>
    <xf numFmtId="0" fontId="19" fillId="8" borderId="0" xfId="0" applyFont="1" applyFill="1" applyBorder="1" applyAlignment="1">
      <alignment vertical="center"/>
    </xf>
    <xf numFmtId="44" fontId="31" fillId="11" borderId="3" xfId="5" applyFont="1" applyFill="1" applyBorder="1" applyAlignment="1">
      <alignment vertical="center"/>
    </xf>
    <xf numFmtId="10" fontId="30" fillId="11" borderId="3" xfId="0" applyNumberFormat="1" applyFont="1" applyFill="1" applyBorder="1" applyAlignment="1">
      <alignment vertical="center"/>
    </xf>
    <xf numFmtId="165" fontId="23" fillId="13" borderId="3" xfId="2" applyFont="1" applyFill="1" applyBorder="1" applyAlignment="1">
      <alignment horizontal="left" vertical="center" wrapText="1"/>
    </xf>
    <xf numFmtId="165" fontId="23" fillId="0" borderId="3" xfId="2" applyFont="1" applyFill="1" applyBorder="1" applyAlignment="1">
      <alignment horizontal="left" vertical="center" wrapText="1"/>
    </xf>
    <xf numFmtId="44" fontId="0" fillId="0" borderId="10" xfId="0" applyNumberFormat="1" applyFill="1" applyBorder="1" applyAlignment="1">
      <alignment horizontal="center" vertical="center"/>
    </xf>
    <xf numFmtId="0" fontId="55" fillId="25" borderId="36" xfId="0" applyFont="1" applyFill="1" applyBorder="1" applyAlignment="1">
      <alignment vertical="top" wrapText="1"/>
    </xf>
    <xf numFmtId="0" fontId="55" fillId="25" borderId="37" xfId="0" applyFont="1" applyFill="1" applyBorder="1" applyAlignment="1">
      <alignment vertical="top" wrapText="1"/>
    </xf>
    <xf numFmtId="0" fontId="55" fillId="25" borderId="27" xfId="0" applyFont="1" applyFill="1" applyBorder="1" applyAlignment="1">
      <alignment horizontal="right" vertical="top" wrapText="1"/>
    </xf>
    <xf numFmtId="0" fontId="55" fillId="25" borderId="38" xfId="0" applyFont="1" applyFill="1" applyBorder="1" applyAlignment="1">
      <alignment vertical="top" wrapText="1"/>
    </xf>
    <xf numFmtId="2" fontId="51" fillId="25" borderId="30" xfId="0" applyNumberFormat="1" applyFont="1" applyFill="1" applyBorder="1" applyAlignment="1">
      <alignment vertical="center" wrapText="1"/>
    </xf>
    <xf numFmtId="44" fontId="0" fillId="0" borderId="0" xfId="5" applyFont="1"/>
    <xf numFmtId="14" fontId="17" fillId="5" borderId="13" xfId="1" applyNumberFormat="1" applyFont="1" applyFill="1" applyBorder="1" applyAlignment="1">
      <alignment horizontal="right" wrapText="1"/>
    </xf>
    <xf numFmtId="0" fontId="25" fillId="9" borderId="3" xfId="0" applyFont="1" applyFill="1" applyBorder="1" applyAlignment="1">
      <alignment horizontal="center" vertical="center" wrapText="1"/>
    </xf>
    <xf numFmtId="44" fontId="25" fillId="0" borderId="3" xfId="5" applyFont="1" applyFill="1" applyBorder="1" applyAlignment="1">
      <alignment horizontal="right" vertical="center"/>
    </xf>
    <xf numFmtId="44" fontId="25" fillId="0" borderId="3" xfId="5" applyFont="1" applyFill="1" applyBorder="1" applyAlignment="1">
      <alignment horizontal="right" vertical="center" wrapText="1"/>
    </xf>
    <xf numFmtId="44" fontId="0" fillId="0" borderId="0" xfId="5" applyNumberFormat="1" applyFont="1"/>
    <xf numFmtId="0" fontId="66" fillId="5" borderId="0" xfId="1" applyFont="1" applyFill="1" applyBorder="1" applyAlignment="1"/>
    <xf numFmtId="0" fontId="0" fillId="0" borderId="7" xfId="0" applyBorder="1"/>
    <xf numFmtId="0" fontId="0" fillId="32" borderId="0" xfId="0" applyFill="1"/>
    <xf numFmtId="0" fontId="54" fillId="24" borderId="3" xfId="0" applyFont="1" applyFill="1" applyBorder="1" applyAlignment="1">
      <alignment horizontal="left" vertical="center" wrapText="1"/>
    </xf>
    <xf numFmtId="0" fontId="54" fillId="24" borderId="3" xfId="0" applyFont="1" applyFill="1" applyBorder="1" applyAlignment="1">
      <alignment horizontal="right" vertical="center" wrapText="1"/>
    </xf>
    <xf numFmtId="0" fontId="51" fillId="29" borderId="3" xfId="0" applyFont="1" applyFill="1" applyBorder="1" applyAlignment="1">
      <alignment horizontal="center" vertical="center" wrapText="1"/>
    </xf>
    <xf numFmtId="0" fontId="51" fillId="29" borderId="3" xfId="0" applyFont="1" applyFill="1" applyBorder="1" applyAlignment="1">
      <alignment horizontal="left" vertical="center" wrapText="1"/>
    </xf>
    <xf numFmtId="4" fontId="51" fillId="29" borderId="3" xfId="0" applyNumberFormat="1" applyFont="1" applyFill="1" applyBorder="1" applyAlignment="1">
      <alignment horizontal="right" vertical="center" wrapText="1"/>
    </xf>
    <xf numFmtId="0" fontId="59" fillId="30" borderId="3" xfId="0" applyFont="1" applyFill="1" applyBorder="1" applyAlignment="1">
      <alignment horizontal="center" vertical="center" wrapText="1"/>
    </xf>
    <xf numFmtId="0" fontId="59" fillId="30" borderId="3" xfId="0" applyFont="1" applyFill="1" applyBorder="1" applyAlignment="1">
      <alignment horizontal="left" vertical="center" wrapText="1"/>
    </xf>
    <xf numFmtId="173" fontId="59" fillId="30" borderId="3" xfId="0" applyNumberFormat="1" applyFont="1" applyFill="1" applyBorder="1" applyAlignment="1">
      <alignment horizontal="right" vertical="center" wrapText="1"/>
    </xf>
    <xf numFmtId="4" fontId="59" fillId="30" borderId="3" xfId="0" applyNumberFormat="1" applyFont="1" applyFill="1" applyBorder="1" applyAlignment="1">
      <alignment horizontal="right" vertical="center" wrapText="1"/>
    </xf>
    <xf numFmtId="175" fontId="51" fillId="29" borderId="3" xfId="0" applyNumberFormat="1" applyFont="1" applyFill="1" applyBorder="1" applyAlignment="1">
      <alignment horizontal="right" vertical="center" wrapText="1"/>
    </xf>
    <xf numFmtId="0" fontId="59" fillId="31" borderId="3" xfId="0" applyFont="1" applyFill="1" applyBorder="1" applyAlignment="1">
      <alignment horizontal="center" vertical="center" wrapText="1"/>
    </xf>
    <xf numFmtId="0" fontId="59" fillId="31" borderId="3" xfId="0" applyFont="1" applyFill="1" applyBorder="1" applyAlignment="1">
      <alignment horizontal="left" vertical="center" wrapText="1"/>
    </xf>
    <xf numFmtId="173" fontId="59" fillId="31" borderId="3" xfId="0" applyNumberFormat="1" applyFont="1" applyFill="1" applyBorder="1" applyAlignment="1">
      <alignment horizontal="right" vertical="center" wrapText="1"/>
    </xf>
    <xf numFmtId="4" fontId="59" fillId="31" borderId="3" xfId="0" applyNumberFormat="1" applyFont="1" applyFill="1" applyBorder="1" applyAlignment="1">
      <alignment horizontal="right" vertical="center" wrapText="1"/>
    </xf>
    <xf numFmtId="173" fontId="51" fillId="29" borderId="3" xfId="0" applyNumberFormat="1" applyFont="1" applyFill="1" applyBorder="1" applyAlignment="1">
      <alignment horizontal="right" vertical="center" wrapText="1"/>
    </xf>
    <xf numFmtId="44" fontId="25" fillId="7" borderId="3" xfId="0" applyNumberFormat="1" applyFont="1" applyFill="1" applyBorder="1" applyAlignment="1">
      <alignment horizontal="center" vertical="center"/>
    </xf>
    <xf numFmtId="44" fontId="25" fillId="8" borderId="3" xfId="0" applyNumberFormat="1" applyFont="1" applyFill="1" applyBorder="1" applyAlignment="1">
      <alignment horizontal="center" vertical="center"/>
    </xf>
    <xf numFmtId="44" fontId="45" fillId="0" borderId="3" xfId="5" applyNumberFormat="1" applyFont="1" applyFill="1" applyBorder="1" applyAlignment="1">
      <alignment horizontal="right" vertical="center"/>
    </xf>
    <xf numFmtId="171" fontId="19" fillId="0" borderId="3" xfId="0" applyNumberFormat="1" applyFont="1" applyFill="1" applyBorder="1" applyAlignment="1">
      <alignment horizontal="right" vertical="center"/>
    </xf>
    <xf numFmtId="171" fontId="25" fillId="8" borderId="3" xfId="5" applyNumberFormat="1" applyFont="1" applyFill="1" applyBorder="1" applyAlignment="1">
      <alignment horizontal="right" vertical="center"/>
    </xf>
    <xf numFmtId="0" fontId="69" fillId="5" borderId="0" xfId="1" applyFont="1" applyFill="1" applyBorder="1" applyAlignment="1">
      <alignment horizontal="center"/>
    </xf>
    <xf numFmtId="0" fontId="70" fillId="5" borderId="0" xfId="0" applyFont="1" applyFill="1"/>
    <xf numFmtId="0" fontId="19" fillId="8" borderId="0" xfId="0" applyFont="1" applyFill="1" applyBorder="1"/>
    <xf numFmtId="0" fontId="19" fillId="0" borderId="0" xfId="0" applyFont="1" applyBorder="1"/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/>
    <xf numFmtId="0" fontId="19" fillId="13" borderId="0" xfId="0" applyFont="1" applyFill="1" applyBorder="1"/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vertical="center"/>
    </xf>
    <xf numFmtId="0" fontId="19" fillId="7" borderId="0" xfId="0" applyFont="1" applyFill="1" applyBorder="1"/>
    <xf numFmtId="0" fontId="19" fillId="13" borderId="0" xfId="0" applyFont="1" applyFill="1" applyBorder="1" applyAlignment="1">
      <alignment vertical="center"/>
    </xf>
    <xf numFmtId="0" fontId="19" fillId="7" borderId="0" xfId="0" applyFont="1" applyFill="1" applyBorder="1" applyAlignment="1">
      <alignment vertical="center"/>
    </xf>
    <xf numFmtId="44" fontId="25" fillId="8" borderId="0" xfId="5" applyNumberFormat="1" applyFont="1" applyFill="1" applyBorder="1" applyAlignment="1">
      <alignment horizontal="right" vertical="center"/>
    </xf>
    <xf numFmtId="44" fontId="68" fillId="0" borderId="0" xfId="0" applyNumberFormat="1" applyFont="1"/>
    <xf numFmtId="4" fontId="55" fillId="13" borderId="27" xfId="0" applyNumberFormat="1" applyFont="1" applyFill="1" applyBorder="1" applyAlignment="1">
      <alignment horizontal="right" vertical="center" wrapText="1"/>
    </xf>
    <xf numFmtId="9" fontId="56" fillId="13" borderId="27" xfId="6" applyFont="1" applyFill="1" applyBorder="1" applyAlignment="1">
      <alignment horizontal="left" vertical="center" wrapText="1"/>
    </xf>
    <xf numFmtId="44" fontId="71" fillId="5" borderId="0" xfId="5" applyFont="1" applyFill="1" applyBorder="1" applyAlignment="1">
      <alignment vertical="center"/>
    </xf>
    <xf numFmtId="9" fontId="19" fillId="0" borderId="3" xfId="6" applyNumberFormat="1" applyFont="1" applyFill="1" applyBorder="1" applyAlignment="1">
      <alignment horizontal="right" vertical="center"/>
    </xf>
    <xf numFmtId="44" fontId="64" fillId="0" borderId="0" xfId="0" applyNumberFormat="1" applyFont="1"/>
    <xf numFmtId="44" fontId="32" fillId="0" borderId="0" xfId="0" applyNumberFormat="1" applyFont="1"/>
    <xf numFmtId="0" fontId="64" fillId="0" borderId="0" xfId="0" applyFont="1"/>
    <xf numFmtId="44" fontId="64" fillId="0" borderId="0" xfId="6" applyNumberFormat="1" applyFont="1" applyAlignment="1">
      <alignment vertical="center"/>
    </xf>
    <xf numFmtId="44" fontId="0" fillId="0" borderId="0" xfId="0" applyNumberFormat="1" applyAlignment="1">
      <alignment vertical="center"/>
    </xf>
    <xf numFmtId="44" fontId="0" fillId="5" borderId="0" xfId="5" applyFont="1" applyFill="1"/>
    <xf numFmtId="44" fontId="21" fillId="0" borderId="0" xfId="5" applyFont="1"/>
    <xf numFmtId="44" fontId="19" fillId="9" borderId="0" xfId="5" applyFont="1" applyFill="1"/>
    <xf numFmtId="44" fontId="19" fillId="26" borderId="0" xfId="5" applyFont="1" applyFill="1" applyAlignment="1">
      <alignment vertical="center"/>
    </xf>
    <xf numFmtId="44" fontId="0" fillId="0" borderId="0" xfId="5" applyFont="1" applyFill="1"/>
    <xf numFmtId="0" fontId="19" fillId="2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44" fontId="30" fillId="0" borderId="0" xfId="5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4" fontId="19" fillId="8" borderId="0" xfId="5" applyFont="1" applyFill="1" applyAlignment="1">
      <alignment horizontal="center" vertical="center"/>
    </xf>
    <xf numFmtId="44" fontId="19" fillId="0" borderId="0" xfId="5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44" fontId="18" fillId="0" borderId="0" xfId="5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4" fontId="19" fillId="7" borderId="0" xfId="5" applyFont="1" applyFill="1" applyAlignment="1">
      <alignment horizontal="center" vertical="center"/>
    </xf>
    <xf numFmtId="1" fontId="72" fillId="5" borderId="39" xfId="0" applyNumberFormat="1" applyFont="1" applyFill="1" applyBorder="1" applyAlignment="1">
      <alignment horizontal="left" vertical="center"/>
    </xf>
    <xf numFmtId="1" fontId="73" fillId="5" borderId="15" xfId="0" applyNumberFormat="1" applyFont="1" applyFill="1" applyBorder="1" applyAlignment="1">
      <alignment horizontal="center" vertical="center" wrapText="1"/>
    </xf>
    <xf numFmtId="1" fontId="72" fillId="5" borderId="44" xfId="0" applyNumberFormat="1" applyFont="1" applyFill="1" applyBorder="1" applyAlignment="1">
      <alignment horizontal="left" vertical="center"/>
    </xf>
    <xf numFmtId="14" fontId="79" fillId="5" borderId="4" xfId="0" applyNumberFormat="1" applyFont="1" applyFill="1" applyBorder="1" applyAlignment="1">
      <alignment horizontal="center" vertical="center"/>
    </xf>
    <xf numFmtId="1" fontId="73" fillId="5" borderId="15" xfId="0" applyNumberFormat="1" applyFont="1" applyFill="1" applyBorder="1" applyAlignment="1">
      <alignment horizontal="center" vertical="center"/>
    </xf>
    <xf numFmtId="1" fontId="72" fillId="5" borderId="48" xfId="0" applyNumberFormat="1" applyFont="1" applyFill="1" applyBorder="1" applyAlignment="1">
      <alignment horizontal="left" vertical="center"/>
    </xf>
    <xf numFmtId="0" fontId="84" fillId="0" borderId="3" xfId="0" applyFont="1" applyBorder="1" applyAlignment="1">
      <alignment horizontal="center" vertical="center" wrapText="1"/>
    </xf>
    <xf numFmtId="0" fontId="84" fillId="13" borderId="3" xfId="0" applyFont="1" applyFill="1" applyBorder="1" applyAlignment="1">
      <alignment horizontal="center" vertical="center" wrapText="1"/>
    </xf>
    <xf numFmtId="0" fontId="85" fillId="27" borderId="39" xfId="0" applyFont="1" applyFill="1" applyBorder="1" applyAlignment="1">
      <alignment horizontal="center" vertical="center" wrapText="1"/>
    </xf>
    <xf numFmtId="0" fontId="17" fillId="27" borderId="16" xfId="0" applyFont="1" applyFill="1" applyBorder="1" applyAlignment="1">
      <alignment vertical="center" wrapText="1"/>
    </xf>
    <xf numFmtId="0" fontId="17" fillId="27" borderId="52" xfId="0" applyFont="1" applyFill="1" applyBorder="1" applyAlignment="1">
      <alignment vertical="center" wrapText="1"/>
    </xf>
    <xf numFmtId="0" fontId="85" fillId="0" borderId="0" xfId="0" applyFont="1"/>
    <xf numFmtId="0" fontId="86" fillId="0" borderId="0" xfId="0" applyFont="1"/>
    <xf numFmtId="0" fontId="85" fillId="0" borderId="53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18" fillId="0" borderId="54" xfId="0" applyFont="1" applyBorder="1" applyAlignment="1">
      <alignment horizontal="center" vertical="center" wrapText="1"/>
    </xf>
    <xf numFmtId="0" fontId="86" fillId="10" borderId="0" xfId="0" applyFont="1" applyFill="1"/>
    <xf numFmtId="43" fontId="85" fillId="10" borderId="44" xfId="11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vertical="center" wrapText="1"/>
    </xf>
    <xf numFmtId="0" fontId="17" fillId="10" borderId="16" xfId="0" applyFont="1" applyFill="1" applyBorder="1" applyAlignment="1">
      <alignment horizontal="center" vertical="center"/>
    </xf>
    <xf numFmtId="9" fontId="85" fillId="0" borderId="0" xfId="6" applyFont="1"/>
    <xf numFmtId="0" fontId="85" fillId="27" borderId="44" xfId="0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vertical="center" wrapText="1"/>
    </xf>
    <xf numFmtId="0" fontId="18" fillId="5" borderId="54" xfId="0" applyFont="1" applyFill="1" applyBorder="1" applyAlignment="1">
      <alignment horizontal="center" vertical="center" wrapText="1"/>
    </xf>
    <xf numFmtId="43" fontId="85" fillId="10" borderId="16" xfId="11" applyFont="1" applyFill="1" applyBorder="1" applyAlignment="1">
      <alignment horizontal="center" vertical="center"/>
    </xf>
    <xf numFmtId="0" fontId="85" fillId="27" borderId="53" xfId="0" applyFont="1" applyFill="1" applyBorder="1" applyAlignment="1">
      <alignment horizontal="center" vertical="center" wrapText="1"/>
    </xf>
    <xf numFmtId="0" fontId="17" fillId="27" borderId="54" xfId="0" applyFont="1" applyFill="1" applyBorder="1" applyAlignment="1">
      <alignment vertical="center" wrapText="1"/>
    </xf>
    <xf numFmtId="0" fontId="85" fillId="10" borderId="44" xfId="0" applyFont="1" applyFill="1" applyBorder="1" applyAlignment="1">
      <alignment horizontal="center" vertical="center"/>
    </xf>
    <xf numFmtId="0" fontId="85" fillId="10" borderId="44" xfId="0" applyFont="1" applyFill="1" applyBorder="1" applyAlignment="1">
      <alignment horizontal="center" vertical="center" wrapText="1"/>
    </xf>
    <xf numFmtId="43" fontId="88" fillId="8" borderId="3" xfId="11" applyFont="1" applyFill="1" applyBorder="1" applyAlignment="1">
      <alignment horizontal="right" vertical="center"/>
    </xf>
    <xf numFmtId="0" fontId="85" fillId="10" borderId="1" xfId="0" applyFont="1" applyFill="1" applyBorder="1" applyAlignment="1">
      <alignment horizontal="center" vertical="center" wrapText="1"/>
    </xf>
    <xf numFmtId="43" fontId="0" fillId="0" borderId="0" xfId="0" applyNumberFormat="1"/>
    <xf numFmtId="10" fontId="88" fillId="7" borderId="3" xfId="11" applyNumberFormat="1" applyFont="1" applyFill="1" applyBorder="1" applyAlignment="1">
      <alignment horizontal="right" vertical="center"/>
    </xf>
    <xf numFmtId="181" fontId="0" fillId="0" borderId="0" xfId="0" applyNumberFormat="1"/>
    <xf numFmtId="43" fontId="28" fillId="0" borderId="3" xfId="11" applyFont="1" applyBorder="1" applyAlignment="1">
      <alignment horizontal="center" vertical="center"/>
    </xf>
    <xf numFmtId="43" fontId="28" fillId="0" borderId="15" xfId="11" applyFont="1" applyBorder="1" applyAlignment="1">
      <alignment horizontal="center"/>
    </xf>
    <xf numFmtId="0" fontId="90" fillId="35" borderId="0" xfId="0" applyFont="1" applyFill="1" applyAlignment="1">
      <alignment horizontal="center" vertical="center" wrapText="1"/>
    </xf>
    <xf numFmtId="180" fontId="0" fillId="0" borderId="0" xfId="0" applyNumberFormat="1"/>
    <xf numFmtId="0" fontId="0" fillId="0" borderId="0" xfId="0" applyAlignment="1">
      <alignment wrapText="1"/>
    </xf>
    <xf numFmtId="43" fontId="93" fillId="0" borderId="0" xfId="0" applyNumberFormat="1" applyFont="1"/>
    <xf numFmtId="0" fontId="94" fillId="5" borderId="16" xfId="0" applyFont="1" applyFill="1" applyBorder="1" applyAlignment="1">
      <alignment vertical="center" wrapText="1"/>
    </xf>
    <xf numFmtId="0" fontId="94" fillId="36" borderId="16" xfId="0" applyFont="1" applyFill="1" applyBorder="1" applyAlignment="1">
      <alignment vertical="center" wrapText="1"/>
    </xf>
    <xf numFmtId="44" fontId="18" fillId="0" borderId="55" xfId="5" applyFont="1" applyBorder="1" applyAlignment="1">
      <alignment horizontal="center" vertical="center" wrapText="1"/>
    </xf>
    <xf numFmtId="44" fontId="17" fillId="0" borderId="55" xfId="5" applyFont="1" applyBorder="1" applyAlignment="1">
      <alignment horizontal="center" vertical="center" wrapText="1"/>
    </xf>
    <xf numFmtId="44" fontId="17" fillId="27" borderId="16" xfId="5" applyFont="1" applyFill="1" applyBorder="1" applyAlignment="1">
      <alignment horizontal="center" vertical="center" wrapText="1"/>
    </xf>
    <xf numFmtId="44" fontId="17" fillId="10" borderId="16" xfId="5" applyFont="1" applyFill="1" applyBorder="1" applyAlignment="1">
      <alignment horizontal="center" vertical="center" wrapText="1"/>
    </xf>
    <xf numFmtId="44" fontId="17" fillId="10" borderId="16" xfId="5" applyFont="1" applyFill="1" applyBorder="1" applyAlignment="1">
      <alignment horizontal="center" vertical="center"/>
    </xf>
    <xf numFmtId="44" fontId="17" fillId="27" borderId="54" xfId="5" applyFont="1" applyFill="1" applyBorder="1" applyAlignment="1">
      <alignment horizontal="center" vertical="center" wrapText="1"/>
    </xf>
    <xf numFmtId="44" fontId="17" fillId="10" borderId="16" xfId="5" applyFont="1" applyFill="1" applyBorder="1" applyAlignment="1">
      <alignment horizontal="center" vertical="center" shrinkToFit="1"/>
    </xf>
    <xf numFmtId="44" fontId="19" fillId="0" borderId="55" xfId="5" applyFont="1" applyBorder="1" applyAlignment="1">
      <alignment horizontal="center" vertical="center" wrapText="1"/>
    </xf>
    <xf numFmtId="2" fontId="18" fillId="0" borderId="54" xfId="0" applyNumberFormat="1" applyFont="1" applyBorder="1" applyAlignment="1">
      <alignment horizontal="center" vertical="center" wrapText="1"/>
    </xf>
    <xf numFmtId="0" fontId="17" fillId="27" borderId="16" xfId="0" applyFont="1" applyFill="1" applyBorder="1" applyAlignment="1">
      <alignment horizontal="center" vertical="center" wrapText="1"/>
    </xf>
    <xf numFmtId="4" fontId="17" fillId="10" borderId="16" xfId="11" applyNumberFormat="1" applyFont="1" applyFill="1" applyBorder="1" applyAlignment="1">
      <alignment horizontal="center" vertical="center"/>
    </xf>
    <xf numFmtId="2" fontId="18" fillId="5" borderId="54" xfId="0" applyNumberFormat="1" applyFont="1" applyFill="1" applyBorder="1" applyAlignment="1">
      <alignment horizontal="center" vertical="center" wrapText="1"/>
    </xf>
    <xf numFmtId="0" fontId="17" fillId="27" borderId="54" xfId="0" applyFont="1" applyFill="1" applyBorder="1" applyAlignment="1">
      <alignment horizontal="center" vertical="center" wrapText="1"/>
    </xf>
    <xf numFmtId="2" fontId="17" fillId="27" borderId="52" xfId="0" applyNumberFormat="1" applyFont="1" applyFill="1" applyBorder="1" applyAlignment="1">
      <alignment horizontal="center" vertical="center" wrapText="1"/>
    </xf>
    <xf numFmtId="2" fontId="17" fillId="10" borderId="16" xfId="13" applyNumberFormat="1" applyFont="1" applyFill="1" applyBorder="1" applyAlignment="1">
      <alignment horizontal="center" vertical="center" wrapText="1"/>
    </xf>
    <xf numFmtId="2" fontId="17" fillId="27" borderId="16" xfId="0" applyNumberFormat="1" applyFont="1" applyFill="1" applyBorder="1" applyAlignment="1">
      <alignment horizontal="center" vertical="center" wrapText="1"/>
    </xf>
    <xf numFmtId="2" fontId="17" fillId="10" borderId="16" xfId="11" applyNumberFormat="1" applyFont="1" applyFill="1" applyBorder="1" applyAlignment="1">
      <alignment horizontal="center" vertical="center"/>
    </xf>
    <xf numFmtId="2" fontId="17" fillId="10" borderId="16" xfId="11" applyNumberFormat="1" applyFont="1" applyFill="1" applyBorder="1" applyAlignment="1">
      <alignment horizontal="center" vertical="center" wrapText="1"/>
    </xf>
    <xf numFmtId="2" fontId="17" fillId="27" borderId="54" xfId="0" applyNumberFormat="1" applyFont="1" applyFill="1" applyBorder="1" applyAlignment="1">
      <alignment horizontal="center" vertical="center" wrapText="1"/>
    </xf>
    <xf numFmtId="2" fontId="18" fillId="11" borderId="3" xfId="0" applyNumberFormat="1" applyFont="1" applyFill="1" applyBorder="1" applyAlignment="1">
      <alignment horizontal="center" vertical="center" wrapText="1"/>
    </xf>
    <xf numFmtId="44" fontId="18" fillId="11" borderId="3" xfId="5" applyFont="1" applyFill="1" applyBorder="1" applyAlignment="1">
      <alignment horizontal="center" vertical="center" wrapText="1"/>
    </xf>
    <xf numFmtId="44" fontId="17" fillId="11" borderId="3" xfId="5" applyFont="1" applyFill="1" applyBorder="1" applyAlignment="1">
      <alignment horizontal="center" vertical="center" wrapText="1"/>
    </xf>
    <xf numFmtId="0" fontId="17" fillId="27" borderId="40" xfId="0" applyFont="1" applyFill="1" applyBorder="1" applyAlignment="1">
      <alignment vertical="center" wrapText="1"/>
    </xf>
    <xf numFmtId="44" fontId="17" fillId="27" borderId="47" xfId="5" applyFont="1" applyFill="1" applyBorder="1" applyAlignment="1">
      <alignment horizontal="center" vertical="center" wrapText="1"/>
    </xf>
    <xf numFmtId="44" fontId="17" fillId="10" borderId="47" xfId="5" applyFont="1" applyFill="1" applyBorder="1" applyAlignment="1">
      <alignment horizontal="center" vertical="center" wrapText="1"/>
    </xf>
    <xf numFmtId="44" fontId="17" fillId="10" borderId="47" xfId="5" applyFont="1" applyFill="1" applyBorder="1" applyAlignment="1">
      <alignment horizontal="center" vertical="center"/>
    </xf>
    <xf numFmtId="44" fontId="17" fillId="27" borderId="55" xfId="5" applyFont="1" applyFill="1" applyBorder="1" applyAlignment="1">
      <alignment horizontal="center" vertical="center" wrapText="1"/>
    </xf>
    <xf numFmtId="0" fontId="17" fillId="27" borderId="3" xfId="0" applyFont="1" applyFill="1" applyBorder="1" applyAlignment="1">
      <alignment vertical="center" wrapText="1"/>
    </xf>
    <xf numFmtId="0" fontId="17" fillId="27" borderId="3" xfId="0" applyFont="1" applyFill="1" applyBorder="1" applyAlignment="1">
      <alignment horizontal="center" vertical="center" wrapText="1"/>
    </xf>
    <xf numFmtId="44" fontId="17" fillId="27" borderId="3" xfId="5" applyFont="1" applyFill="1" applyBorder="1" applyAlignment="1">
      <alignment horizontal="center" vertical="center" wrapText="1"/>
    </xf>
    <xf numFmtId="44" fontId="17" fillId="11" borderId="3" xfId="5" applyFont="1" applyFill="1" applyBorder="1" applyAlignment="1">
      <alignment horizontal="center" vertical="center"/>
    </xf>
    <xf numFmtId="2" fontId="95" fillId="11" borderId="3" xfId="0" applyNumberFormat="1" applyFont="1" applyFill="1" applyBorder="1" applyAlignment="1">
      <alignment horizontal="center" vertical="center" wrapText="1"/>
    </xf>
    <xf numFmtId="44" fontId="95" fillId="11" borderId="3" xfId="5" applyFont="1" applyFill="1" applyBorder="1" applyAlignment="1">
      <alignment horizontal="center" vertical="center" wrapText="1"/>
    </xf>
    <xf numFmtId="44" fontId="17" fillId="11" borderId="3" xfId="5" applyFont="1" applyFill="1" applyBorder="1" applyAlignment="1">
      <alignment horizontal="center" vertical="center" shrinkToFit="1"/>
    </xf>
    <xf numFmtId="2" fontId="96" fillId="11" borderId="3" xfId="0" applyNumberFormat="1" applyFont="1" applyFill="1" applyBorder="1" applyAlignment="1">
      <alignment horizontal="center" vertical="center" wrapText="1"/>
    </xf>
    <xf numFmtId="44" fontId="96" fillId="11" borderId="3" xfId="5" applyFont="1" applyFill="1" applyBorder="1" applyAlignment="1">
      <alignment horizontal="center" vertical="center" wrapText="1"/>
    </xf>
    <xf numFmtId="177" fontId="17" fillId="11" borderId="3" xfId="13" applyFont="1" applyFill="1" applyBorder="1" applyAlignment="1">
      <alignment horizontal="center" vertical="center" wrapText="1"/>
    </xf>
    <xf numFmtId="43" fontId="17" fillId="11" borderId="3" xfId="11" applyFont="1" applyFill="1" applyBorder="1" applyAlignment="1">
      <alignment horizontal="center" vertical="center"/>
    </xf>
    <xf numFmtId="43" fontId="17" fillId="11" borderId="3" xfId="11" applyFont="1" applyFill="1" applyBorder="1" applyAlignment="1">
      <alignment horizontal="center" vertical="center" shrinkToFit="1"/>
    </xf>
    <xf numFmtId="43" fontId="18" fillId="4" borderId="3" xfId="11" applyFont="1" applyFill="1" applyBorder="1" applyAlignment="1">
      <alignment horizontal="right" vertical="center"/>
    </xf>
    <xf numFmtId="165" fontId="18" fillId="4" borderId="3" xfId="12" applyNumberFormat="1" applyFont="1" applyFill="1" applyBorder="1" applyAlignment="1">
      <alignment horizontal="right" vertical="center"/>
    </xf>
    <xf numFmtId="177" fontId="17" fillId="10" borderId="3" xfId="13" applyFont="1" applyFill="1" applyBorder="1" applyAlignment="1">
      <alignment horizontal="right" vertical="center" wrapText="1"/>
    </xf>
    <xf numFmtId="0" fontId="17" fillId="27" borderId="3" xfId="0" applyFont="1" applyFill="1" applyBorder="1" applyAlignment="1">
      <alignment horizontal="right" vertical="center" wrapText="1"/>
    </xf>
    <xf numFmtId="2" fontId="18" fillId="0" borderId="3" xfId="0" applyNumberFormat="1" applyFont="1" applyBorder="1" applyAlignment="1">
      <alignment horizontal="right" vertical="center" wrapText="1"/>
    </xf>
    <xf numFmtId="178" fontId="17" fillId="0" borderId="3" xfId="11" applyNumberFormat="1" applyFont="1" applyFill="1" applyBorder="1" applyAlignment="1">
      <alignment horizontal="right" vertical="center"/>
    </xf>
    <xf numFmtId="43" fontId="17" fillId="10" borderId="3" xfId="11" applyFont="1" applyFill="1" applyBorder="1" applyAlignment="1">
      <alignment horizontal="right" vertical="center"/>
    </xf>
    <xf numFmtId="178" fontId="17" fillId="10" borderId="3" xfId="11" applyNumberFormat="1" applyFont="1" applyFill="1" applyBorder="1" applyAlignment="1">
      <alignment horizontal="right" vertical="center"/>
    </xf>
    <xf numFmtId="43" fontId="17" fillId="10" borderId="3" xfId="11" applyFont="1" applyFill="1" applyBorder="1" applyAlignment="1">
      <alignment horizontal="right" vertical="center" shrinkToFit="1"/>
    </xf>
    <xf numFmtId="179" fontId="18" fillId="4" borderId="3" xfId="11" applyNumberFormat="1" applyFont="1" applyFill="1" applyBorder="1" applyAlignment="1">
      <alignment horizontal="right" vertical="center"/>
    </xf>
    <xf numFmtId="43" fontId="19" fillId="4" borderId="3" xfId="11" applyFont="1" applyFill="1" applyBorder="1" applyAlignment="1">
      <alignment horizontal="right" vertical="center"/>
    </xf>
    <xf numFmtId="43" fontId="24" fillId="4" borderId="3" xfId="11" applyFont="1" applyFill="1" applyBorder="1" applyAlignment="1">
      <alignment horizontal="right" vertical="center"/>
    </xf>
    <xf numFmtId="165" fontId="18" fillId="0" borderId="3" xfId="12" applyNumberFormat="1" applyFont="1" applyFill="1" applyBorder="1" applyAlignment="1">
      <alignment horizontal="right" vertical="center"/>
    </xf>
    <xf numFmtId="43" fontId="18" fillId="0" borderId="3" xfId="11" applyFont="1" applyFill="1" applyBorder="1" applyAlignment="1">
      <alignment horizontal="right" vertical="center"/>
    </xf>
    <xf numFmtId="165" fontId="19" fillId="0" borderId="3" xfId="12" applyNumberFormat="1" applyFont="1" applyFill="1" applyBorder="1" applyAlignment="1">
      <alignment horizontal="right" vertical="center"/>
    </xf>
    <xf numFmtId="43" fontId="19" fillId="0" borderId="3" xfId="11" applyFont="1" applyFill="1" applyBorder="1" applyAlignment="1">
      <alignment horizontal="right" vertical="center"/>
    </xf>
    <xf numFmtId="43" fontId="18" fillId="0" borderId="3" xfId="11" applyFont="1" applyFill="1" applyBorder="1" applyAlignment="1">
      <alignment vertical="center"/>
    </xf>
    <xf numFmtId="2" fontId="19" fillId="0" borderId="3" xfId="0" applyNumberFormat="1" applyFont="1" applyBorder="1" applyAlignment="1">
      <alignment horizontal="right" vertical="center" wrapText="1"/>
    </xf>
    <xf numFmtId="43" fontId="19" fillId="0" borderId="3" xfId="11" applyFont="1" applyFill="1" applyBorder="1" applyAlignment="1">
      <alignment vertical="center"/>
    </xf>
    <xf numFmtId="176" fontId="18" fillId="14" borderId="3" xfId="11" applyNumberFormat="1" applyFont="1" applyFill="1" applyBorder="1" applyAlignment="1">
      <alignment vertical="center"/>
    </xf>
    <xf numFmtId="10" fontId="18" fillId="0" borderId="3" xfId="0" applyNumberFormat="1" applyFont="1" applyBorder="1" applyAlignment="1">
      <alignment horizontal="center" vertical="center"/>
    </xf>
    <xf numFmtId="43" fontId="17" fillId="10" borderId="3" xfId="11" applyFont="1" applyFill="1" applyBorder="1" applyAlignment="1">
      <alignment vertical="center"/>
    </xf>
    <xf numFmtId="10" fontId="17" fillId="2" borderId="3" xfId="0" applyNumberFormat="1" applyFont="1" applyFill="1" applyBorder="1" applyAlignment="1">
      <alignment horizontal="center" vertical="center"/>
    </xf>
    <xf numFmtId="43" fontId="18" fillId="14" borderId="3" xfId="11" applyFont="1" applyFill="1" applyBorder="1" applyAlignment="1">
      <alignment vertical="center"/>
    </xf>
    <xf numFmtId="43" fontId="19" fillId="14" borderId="3" xfId="11" applyFont="1" applyFill="1" applyBorder="1" applyAlignment="1">
      <alignment vertical="center"/>
    </xf>
    <xf numFmtId="0" fontId="86" fillId="0" borderId="0" xfId="0" applyFont="1" applyFill="1"/>
    <xf numFmtId="0" fontId="85" fillId="0" borderId="0" xfId="0" applyFont="1" applyFill="1"/>
    <xf numFmtId="0" fontId="85" fillId="0" borderId="56" xfId="0" applyFont="1" applyFill="1" applyBorder="1"/>
    <xf numFmtId="43" fontId="0" fillId="0" borderId="0" xfId="0" applyNumberFormat="1" applyFill="1"/>
    <xf numFmtId="182" fontId="0" fillId="0" borderId="0" xfId="6" applyNumberFormat="1" applyFont="1" applyFill="1"/>
    <xf numFmtId="0" fontId="97" fillId="5" borderId="12" xfId="0" applyFont="1" applyFill="1" applyBorder="1" applyAlignment="1">
      <alignment vertical="center"/>
    </xf>
    <xf numFmtId="0" fontId="97" fillId="5" borderId="1" xfId="0" applyFont="1" applyFill="1" applyBorder="1" applyAlignment="1">
      <alignment vertical="center"/>
    </xf>
    <xf numFmtId="0" fontId="97" fillId="5" borderId="7" xfId="0" applyFont="1" applyFill="1" applyBorder="1" applyAlignment="1">
      <alignment vertical="center"/>
    </xf>
    <xf numFmtId="14" fontId="98" fillId="5" borderId="58" xfId="11" applyNumberFormat="1" applyFont="1" applyFill="1" applyBorder="1" applyAlignment="1">
      <alignment horizontal="center" vertical="center"/>
    </xf>
    <xf numFmtId="14" fontId="98" fillId="5" borderId="3" xfId="11" applyNumberFormat="1" applyFont="1" applyFill="1" applyBorder="1" applyAlignment="1">
      <alignment horizontal="center" vertical="center"/>
    </xf>
    <xf numFmtId="0" fontId="99" fillId="37" borderId="3" xfId="0" applyFont="1" applyFill="1" applyBorder="1" applyAlignment="1">
      <alignment vertical="center" wrapText="1"/>
    </xf>
    <xf numFmtId="0" fontId="99" fillId="37" borderId="3" xfId="0" applyFont="1" applyFill="1" applyBorder="1" applyAlignment="1">
      <alignment horizontal="center" vertical="center" wrapText="1"/>
    </xf>
    <xf numFmtId="0" fontId="98" fillId="5" borderId="0" xfId="0" applyFont="1" applyFill="1"/>
    <xf numFmtId="0" fontId="98" fillId="37" borderId="0" xfId="0" applyFont="1" applyFill="1"/>
    <xf numFmtId="0" fontId="0" fillId="5" borderId="3" xfId="0" applyFill="1" applyBorder="1" applyAlignment="1">
      <alignment horizontal="center"/>
    </xf>
    <xf numFmtId="0" fontId="0" fillId="34" borderId="0" xfId="0" applyFill="1"/>
    <xf numFmtId="0" fontId="101" fillId="0" borderId="0" xfId="0" applyFont="1" applyAlignment="1">
      <alignment horizontal="right"/>
    </xf>
    <xf numFmtId="183" fontId="0" fillId="0" borderId="0" xfId="0" applyNumberFormat="1"/>
    <xf numFmtId="0" fontId="0" fillId="0" borderId="3" xfId="0" applyFill="1" applyBorder="1"/>
    <xf numFmtId="167" fontId="100" fillId="0" borderId="3" xfId="0" applyNumberFormat="1" applyFont="1" applyFill="1" applyBorder="1" applyAlignment="1">
      <alignment horizontal="center"/>
    </xf>
    <xf numFmtId="181" fontId="0" fillId="0" borderId="3" xfId="6" applyNumberFormat="1" applyFont="1" applyFill="1" applyBorder="1" applyAlignment="1">
      <alignment horizontal="center"/>
    </xf>
    <xf numFmtId="0" fontId="98" fillId="5" borderId="3" xfId="0" applyFont="1" applyFill="1" applyBorder="1" applyAlignment="1">
      <alignment horizontal="center" vertical="center"/>
    </xf>
    <xf numFmtId="44" fontId="75" fillId="5" borderId="3" xfId="5" applyFont="1" applyFill="1" applyBorder="1"/>
    <xf numFmtId="1" fontId="72" fillId="5" borderId="3" xfId="0" applyNumberFormat="1" applyFont="1" applyFill="1" applyBorder="1" applyAlignment="1">
      <alignment horizontal="left" vertical="center"/>
    </xf>
    <xf numFmtId="0" fontId="80" fillId="5" borderId="3" xfId="0" applyFont="1" applyFill="1" applyBorder="1" applyAlignment="1">
      <alignment vertical="center" wrapText="1"/>
    </xf>
    <xf numFmtId="0" fontId="37" fillId="5" borderId="13" xfId="0" applyFont="1" applyFill="1" applyBorder="1" applyAlignment="1">
      <alignment horizontal="left" vertical="center" wrapText="1"/>
    </xf>
    <xf numFmtId="0" fontId="37" fillId="5" borderId="0" xfId="0" applyFont="1" applyFill="1" applyBorder="1" applyAlignment="1">
      <alignment horizontal="left" vertical="center" wrapText="1"/>
    </xf>
    <xf numFmtId="0" fontId="18" fillId="5" borderId="10" xfId="1" applyFont="1" applyFill="1" applyBorder="1" applyAlignment="1">
      <alignment horizontal="left" vertical="center"/>
    </xf>
    <xf numFmtId="0" fontId="25" fillId="13" borderId="9" xfId="0" applyFont="1" applyFill="1" applyBorder="1" applyAlignment="1">
      <alignment horizontal="left" vertical="center"/>
    </xf>
    <xf numFmtId="0" fontId="25" fillId="13" borderId="10" xfId="0" applyFont="1" applyFill="1" applyBorder="1" applyAlignment="1">
      <alignment horizontal="left" vertical="center"/>
    </xf>
    <xf numFmtId="0" fontId="25" fillId="13" borderId="11" xfId="0" applyFont="1" applyFill="1" applyBorder="1" applyAlignment="1">
      <alignment horizontal="left" vertical="center"/>
    </xf>
    <xf numFmtId="0" fontId="25" fillId="12" borderId="9" xfId="0" applyFont="1" applyFill="1" applyBorder="1" applyAlignment="1">
      <alignment horizontal="left" vertical="center"/>
    </xf>
    <xf numFmtId="0" fontId="25" fillId="12" borderId="10" xfId="0" applyFont="1" applyFill="1" applyBorder="1" applyAlignment="1">
      <alignment horizontal="left" vertical="center"/>
    </xf>
    <xf numFmtId="0" fontId="25" fillId="12" borderId="11" xfId="0" applyFont="1" applyFill="1" applyBorder="1" applyAlignment="1">
      <alignment horizontal="left" vertical="center"/>
    </xf>
    <xf numFmtId="165" fontId="1" fillId="0" borderId="5" xfId="2" applyFont="1" applyBorder="1" applyAlignment="1">
      <alignment horizontal="center" vertical="center"/>
    </xf>
    <xf numFmtId="165" fontId="1" fillId="0" borderId="8" xfId="2" applyFont="1" applyBorder="1" applyAlignment="1">
      <alignment horizontal="center" vertical="center"/>
    </xf>
    <xf numFmtId="165" fontId="1" fillId="0" borderId="7" xfId="2" applyFont="1" applyBorder="1" applyAlignment="1">
      <alignment horizontal="center" vertical="center"/>
    </xf>
    <xf numFmtId="165" fontId="1" fillId="0" borderId="1" xfId="2" applyFont="1" applyBorder="1" applyAlignment="1">
      <alignment horizontal="center" vertical="center"/>
    </xf>
    <xf numFmtId="165" fontId="1" fillId="0" borderId="0" xfId="2" applyFont="1" applyBorder="1" applyAlignment="1">
      <alignment horizontal="center" vertical="center"/>
    </xf>
    <xf numFmtId="165" fontId="1" fillId="0" borderId="6" xfId="2" applyFont="1" applyBorder="1" applyAlignment="1">
      <alignment horizontal="center" vertical="center"/>
    </xf>
    <xf numFmtId="165" fontId="1" fillId="0" borderId="12" xfId="2" applyFont="1" applyBorder="1" applyAlignment="1">
      <alignment horizontal="center"/>
    </xf>
    <xf numFmtId="165" fontId="1" fillId="0" borderId="13" xfId="2" applyFont="1" applyBorder="1" applyAlignment="1">
      <alignment horizontal="center"/>
    </xf>
    <xf numFmtId="165" fontId="1" fillId="0" borderId="14" xfId="2" applyFont="1" applyBorder="1" applyAlignment="1">
      <alignment horizontal="center"/>
    </xf>
    <xf numFmtId="44" fontId="62" fillId="28" borderId="9" xfId="5" applyFont="1" applyFill="1" applyBorder="1" applyAlignment="1">
      <alignment horizontal="center" vertical="center"/>
    </xf>
    <xf numFmtId="44" fontId="62" fillId="28" borderId="10" xfId="5" applyFont="1" applyFill="1" applyBorder="1" applyAlignment="1">
      <alignment horizontal="center" vertical="center"/>
    </xf>
    <xf numFmtId="44" fontId="62" fillId="28" borderId="11" xfId="5" applyFont="1" applyFill="1" applyBorder="1" applyAlignment="1">
      <alignment horizontal="center" vertical="center"/>
    </xf>
    <xf numFmtId="165" fontId="28" fillId="0" borderId="3" xfId="2" applyFont="1" applyBorder="1" applyAlignment="1">
      <alignment horizontal="center" vertical="center"/>
    </xf>
    <xf numFmtId="165" fontId="29" fillId="0" borderId="13" xfId="2" applyFont="1" applyBorder="1" applyAlignment="1">
      <alignment horizontal="center" wrapText="1"/>
    </xf>
    <xf numFmtId="165" fontId="29" fillId="0" borderId="14" xfId="2" applyFont="1" applyBorder="1" applyAlignment="1">
      <alignment horizontal="center" wrapText="1"/>
    </xf>
    <xf numFmtId="165" fontId="28" fillId="0" borderId="15" xfId="2" applyFont="1" applyBorder="1" applyAlignment="1">
      <alignment horizontal="center" vertical="center"/>
    </xf>
    <xf numFmtId="165" fontId="27" fillId="0" borderId="3" xfId="2" applyFont="1" applyBorder="1" applyAlignment="1">
      <alignment horizontal="center" vertical="center" textRotation="60"/>
    </xf>
    <xf numFmtId="165" fontId="27" fillId="0" borderId="9" xfId="2" applyFont="1" applyBorder="1" applyAlignment="1">
      <alignment horizontal="center" vertical="center" textRotation="60"/>
    </xf>
    <xf numFmtId="0" fontId="3" fillId="5" borderId="0" xfId="1" applyFont="1" applyFill="1" applyBorder="1" applyAlignment="1">
      <alignment horizontal="center"/>
    </xf>
    <xf numFmtId="0" fontId="5" fillId="5" borderId="0" xfId="1" applyFont="1" applyFill="1" applyBorder="1" applyAlignment="1">
      <alignment horizontal="center"/>
    </xf>
    <xf numFmtId="0" fontId="4" fillId="11" borderId="3" xfId="1" applyFont="1" applyFill="1" applyBorder="1" applyAlignment="1">
      <alignment horizontal="center" vertical="center"/>
    </xf>
    <xf numFmtId="0" fontId="4" fillId="11" borderId="15" xfId="1" applyFont="1" applyFill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left" vertical="center" wrapText="1"/>
    </xf>
    <xf numFmtId="0" fontId="18" fillId="5" borderId="13" xfId="1" applyFont="1" applyFill="1" applyBorder="1" applyAlignment="1">
      <alignment horizontal="right" vertical="center"/>
    </xf>
    <xf numFmtId="0" fontId="25" fillId="14" borderId="9" xfId="0" applyFont="1" applyFill="1" applyBorder="1" applyAlignment="1">
      <alignment horizontal="center" vertical="center"/>
    </xf>
    <xf numFmtId="0" fontId="25" fillId="14" borderId="10" xfId="0" applyFont="1" applyFill="1" applyBorder="1" applyAlignment="1">
      <alignment horizontal="center" vertical="center"/>
    </xf>
    <xf numFmtId="0" fontId="25" fillId="14" borderId="11" xfId="0" applyFont="1" applyFill="1" applyBorder="1" applyAlignment="1">
      <alignment horizontal="center" vertical="center"/>
    </xf>
    <xf numFmtId="0" fontId="25" fillId="14" borderId="3" xfId="0" applyFont="1" applyFill="1" applyBorder="1" applyAlignment="1">
      <alignment horizontal="center" vertical="center"/>
    </xf>
    <xf numFmtId="165" fontId="28" fillId="0" borderId="9" xfId="2" applyFont="1" applyBorder="1" applyAlignment="1">
      <alignment horizontal="center" vertical="center"/>
    </xf>
    <xf numFmtId="165" fontId="28" fillId="0" borderId="10" xfId="2" applyFont="1" applyBorder="1" applyAlignment="1">
      <alignment horizontal="center" vertical="center"/>
    </xf>
    <xf numFmtId="165" fontId="29" fillId="0" borderId="12" xfId="2" applyFont="1" applyBorder="1" applyAlignment="1">
      <alignment horizontal="center"/>
    </xf>
    <xf numFmtId="165" fontId="29" fillId="0" borderId="14" xfId="2" applyFont="1" applyBorder="1" applyAlignment="1">
      <alignment horizontal="center"/>
    </xf>
    <xf numFmtId="165" fontId="29" fillId="0" borderId="12" xfId="2" applyFont="1" applyBorder="1" applyAlignment="1">
      <alignment horizontal="center" wrapText="1"/>
    </xf>
    <xf numFmtId="165" fontId="28" fillId="0" borderId="12" xfId="2" applyFont="1" applyBorder="1" applyAlignment="1">
      <alignment horizontal="center"/>
    </xf>
    <xf numFmtId="165" fontId="28" fillId="0" borderId="13" xfId="2" applyFont="1" applyBorder="1" applyAlignment="1">
      <alignment horizontal="center"/>
    </xf>
    <xf numFmtId="165" fontId="28" fillId="0" borderId="14" xfId="2" applyFont="1" applyBorder="1" applyAlignment="1">
      <alignment horizontal="center"/>
    </xf>
    <xf numFmtId="165" fontId="1" fillId="0" borderId="2" xfId="2" applyFont="1" applyBorder="1" applyAlignment="1">
      <alignment horizontal="center" vertical="center"/>
    </xf>
    <xf numFmtId="0" fontId="25" fillId="9" borderId="3" xfId="0" applyFont="1" applyFill="1" applyBorder="1" applyAlignment="1">
      <alignment horizontal="center" vertical="center" wrapText="1"/>
    </xf>
    <xf numFmtId="0" fontId="18" fillId="5" borderId="13" xfId="1" applyFont="1" applyFill="1" applyBorder="1" applyAlignment="1">
      <alignment horizontal="right"/>
    </xf>
    <xf numFmtId="165" fontId="29" fillId="0" borderId="13" xfId="2" applyFont="1" applyBorder="1" applyAlignment="1">
      <alignment horizontal="center"/>
    </xf>
    <xf numFmtId="0" fontId="30" fillId="11" borderId="7" xfId="0" applyFont="1" applyFill="1" applyBorder="1" applyAlignment="1">
      <alignment horizontal="center" vertical="center" wrapText="1"/>
    </xf>
    <xf numFmtId="0" fontId="30" fillId="11" borderId="5" xfId="0" applyFont="1" applyFill="1" applyBorder="1" applyAlignment="1">
      <alignment horizontal="center" vertical="center" wrapText="1"/>
    </xf>
    <xf numFmtId="0" fontId="30" fillId="11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5" fontId="17" fillId="5" borderId="0" xfId="2" applyFont="1" applyFill="1" applyBorder="1" applyAlignment="1">
      <alignment horizontal="center"/>
    </xf>
    <xf numFmtId="165" fontId="17" fillId="5" borderId="6" xfId="2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25" fillId="0" borderId="9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0" fillId="23" borderId="12" xfId="0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0" fontId="0" fillId="23" borderId="7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53" fillId="28" borderId="9" xfId="0" applyFont="1" applyFill="1" applyBorder="1" applyAlignment="1">
      <alignment horizontal="center" vertical="center"/>
    </xf>
    <xf numFmtId="0" fontId="53" fillId="28" borderId="10" xfId="0" applyFont="1" applyFill="1" applyBorder="1" applyAlignment="1">
      <alignment horizontal="center" vertical="center"/>
    </xf>
    <xf numFmtId="0" fontId="53" fillId="28" borderId="11" xfId="0" applyFont="1" applyFill="1" applyBorder="1" applyAlignment="1">
      <alignment horizontal="center" vertical="center"/>
    </xf>
    <xf numFmtId="0" fontId="54" fillId="27" borderId="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69" fillId="2" borderId="3" xfId="1" applyFont="1" applyFill="1" applyBorder="1" applyAlignment="1">
      <alignment horizontal="center" vertical="center"/>
    </xf>
    <xf numFmtId="4" fontId="25" fillId="2" borderId="15" xfId="0" applyNumberFormat="1" applyFont="1" applyFill="1" applyBorder="1" applyAlignment="1">
      <alignment horizontal="center" vertical="center" wrapText="1"/>
    </xf>
    <xf numFmtId="4" fontId="25" fillId="2" borderId="4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 wrapText="1"/>
    </xf>
    <xf numFmtId="4" fontId="25" fillId="2" borderId="15" xfId="0" applyNumberFormat="1" applyFont="1" applyFill="1" applyBorder="1" applyAlignment="1">
      <alignment horizontal="center" vertical="center"/>
    </xf>
    <xf numFmtId="4" fontId="25" fillId="2" borderId="4" xfId="0" applyNumberFormat="1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49" fontId="25" fillId="8" borderId="9" xfId="0" applyNumberFormat="1" applyFont="1" applyFill="1" applyBorder="1" applyAlignment="1">
      <alignment horizontal="left" vertical="center"/>
    </xf>
    <xf numFmtId="49" fontId="25" fillId="8" borderId="10" xfId="0" applyNumberFormat="1" applyFont="1" applyFill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7" fillId="5" borderId="9" xfId="1" applyFont="1" applyFill="1" applyBorder="1" applyAlignment="1">
      <alignment horizontal="center" vertical="center" wrapText="1"/>
    </xf>
    <xf numFmtId="0" fontId="17" fillId="5" borderId="10" xfId="1" applyFont="1" applyFill="1" applyBorder="1" applyAlignment="1">
      <alignment horizontal="center" vertical="center" wrapText="1"/>
    </xf>
    <xf numFmtId="0" fontId="69" fillId="5" borderId="0" xfId="1" applyFont="1" applyFill="1" applyBorder="1" applyAlignment="1">
      <alignment horizontal="center"/>
    </xf>
    <xf numFmtId="0" fontId="69" fillId="5" borderId="0" xfId="1" applyFont="1" applyFill="1" applyBorder="1" applyAlignment="1">
      <alignment horizontal="center" vertical="top"/>
    </xf>
    <xf numFmtId="49" fontId="25" fillId="8" borderId="11" xfId="0" applyNumberFormat="1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65" fontId="28" fillId="10" borderId="9" xfId="2" applyFont="1" applyFill="1" applyBorder="1" applyAlignment="1">
      <alignment horizontal="center" vertical="center"/>
    </xf>
    <xf numFmtId="165" fontId="28" fillId="10" borderId="10" xfId="2" applyFont="1" applyFill="1" applyBorder="1" applyAlignment="1">
      <alignment horizontal="center" vertical="center"/>
    </xf>
    <xf numFmtId="165" fontId="27" fillId="0" borderId="15" xfId="2" applyFont="1" applyBorder="1" applyAlignment="1">
      <alignment horizontal="center" vertical="center" textRotation="60"/>
    </xf>
    <xf numFmtId="165" fontId="27" fillId="0" borderId="2" xfId="2" applyFont="1" applyBorder="1" applyAlignment="1">
      <alignment horizontal="center" vertical="center" textRotation="60"/>
    </xf>
    <xf numFmtId="165" fontId="27" fillId="0" borderId="4" xfId="2" applyFont="1" applyBorder="1" applyAlignment="1">
      <alignment horizontal="center" vertical="center" textRotation="60"/>
    </xf>
    <xf numFmtId="165" fontId="28" fillId="10" borderId="11" xfId="2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7" fillId="5" borderId="0" xfId="1" applyFont="1" applyFill="1" applyBorder="1" applyAlignment="1">
      <alignment horizontal="right" vertical="center"/>
    </xf>
    <xf numFmtId="165" fontId="18" fillId="5" borderId="0" xfId="2" applyFont="1" applyFill="1" applyBorder="1" applyAlignment="1">
      <alignment horizontal="left"/>
    </xf>
    <xf numFmtId="49" fontId="19" fillId="8" borderId="9" xfId="0" applyNumberFormat="1" applyFont="1" applyFill="1" applyBorder="1" applyAlignment="1">
      <alignment horizontal="center" vertical="center"/>
    </xf>
    <xf numFmtId="49" fontId="19" fillId="8" borderId="10" xfId="0" applyNumberFormat="1" applyFont="1" applyFill="1" applyBorder="1" applyAlignment="1">
      <alignment horizontal="center" vertical="center"/>
    </xf>
    <xf numFmtId="49" fontId="19" fillId="8" borderId="11" xfId="0" applyNumberFormat="1" applyFont="1" applyFill="1" applyBorder="1" applyAlignment="1">
      <alignment horizontal="center" vertical="center"/>
    </xf>
    <xf numFmtId="0" fontId="53" fillId="28" borderId="9" xfId="0" applyFont="1" applyFill="1" applyBorder="1" applyAlignment="1">
      <alignment horizontal="right" vertical="center"/>
    </xf>
    <xf numFmtId="0" fontId="53" fillId="28" borderId="10" xfId="0" applyFont="1" applyFill="1" applyBorder="1" applyAlignment="1">
      <alignment horizontal="right" vertical="center"/>
    </xf>
    <xf numFmtId="0" fontId="53" fillId="28" borderId="11" xfId="0" applyFont="1" applyFill="1" applyBorder="1" applyAlignment="1">
      <alignment horizontal="right" vertical="center"/>
    </xf>
    <xf numFmtId="0" fontId="59" fillId="24" borderId="0" xfId="0" applyFont="1" applyFill="1" applyBorder="1" applyAlignment="1">
      <alignment horizontal="left" vertical="top" wrapText="1"/>
    </xf>
    <xf numFmtId="49" fontId="55" fillId="25" borderId="28" xfId="0" applyNumberFormat="1" applyFont="1" applyFill="1" applyBorder="1" applyAlignment="1">
      <alignment horizontal="center" vertical="center" wrapText="1"/>
    </xf>
    <xf numFmtId="0" fontId="55" fillId="25" borderId="29" xfId="0" applyFont="1" applyFill="1" applyBorder="1" applyAlignment="1">
      <alignment horizontal="center" vertical="center" wrapText="1"/>
    </xf>
    <xf numFmtId="49" fontId="55" fillId="25" borderId="28" xfId="0" applyNumberFormat="1" applyFont="1" applyFill="1" applyBorder="1" applyAlignment="1">
      <alignment horizontal="left" vertical="center" wrapText="1"/>
    </xf>
    <xf numFmtId="0" fontId="55" fillId="25" borderId="29" xfId="0" applyFont="1" applyFill="1" applyBorder="1" applyAlignment="1">
      <alignment horizontal="left" vertical="center" wrapText="1"/>
    </xf>
    <xf numFmtId="0" fontId="57" fillId="24" borderId="0" xfId="0" applyFont="1" applyFill="1" applyAlignment="1">
      <alignment horizontal="left" vertical="top" wrapText="1"/>
    </xf>
    <xf numFmtId="0" fontId="54" fillId="24" borderId="0" xfId="0" applyFont="1" applyFill="1" applyAlignment="1">
      <alignment horizontal="left" vertical="top" wrapText="1"/>
    </xf>
    <xf numFmtId="0" fontId="2" fillId="5" borderId="25" xfId="0" applyFont="1" applyFill="1" applyBorder="1" applyAlignment="1">
      <alignment horizontal="center" vertical="center" wrapText="1"/>
    </xf>
    <xf numFmtId="10" fontId="57" fillId="24" borderId="0" xfId="0" applyNumberFormat="1" applyFont="1" applyFill="1" applyAlignment="1">
      <alignment horizontal="left" vertical="top" wrapText="1"/>
    </xf>
    <xf numFmtId="0" fontId="45" fillId="13" borderId="20" xfId="0" applyFont="1" applyFill="1" applyBorder="1" applyAlignment="1">
      <alignment horizontal="center" vertical="center"/>
    </xf>
    <xf numFmtId="0" fontId="45" fillId="13" borderId="21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left" vertical="center" wrapText="1"/>
    </xf>
    <xf numFmtId="0" fontId="55" fillId="25" borderId="28" xfId="0" applyFont="1" applyFill="1" applyBorder="1" applyAlignment="1">
      <alignment horizontal="left" vertical="center" wrapText="1"/>
    </xf>
    <xf numFmtId="0" fontId="49" fillId="5" borderId="0" xfId="0" applyFont="1" applyFill="1" applyAlignment="1" applyProtection="1">
      <alignment horizontal="center" vertical="top"/>
      <protection locked="0"/>
    </xf>
    <xf numFmtId="0" fontId="48" fillId="5" borderId="0" xfId="0" applyFont="1" applyFill="1" applyAlignment="1">
      <alignment horizontal="center"/>
    </xf>
    <xf numFmtId="0" fontId="38" fillId="5" borderId="0" xfId="0" applyFont="1" applyFill="1" applyAlignment="1" applyProtection="1">
      <alignment horizontal="center" vertical="top"/>
      <protection locked="0"/>
    </xf>
    <xf numFmtId="0" fontId="34" fillId="15" borderId="9" xfId="0" applyFont="1" applyFill="1" applyBorder="1" applyAlignment="1" applyProtection="1">
      <alignment horizontal="left" vertical="center" wrapText="1"/>
      <protection locked="0"/>
    </xf>
    <xf numFmtId="0" fontId="34" fillId="15" borderId="10" xfId="0" applyFont="1" applyFill="1" applyBorder="1" applyAlignment="1" applyProtection="1">
      <alignment horizontal="left" vertical="center" wrapText="1"/>
      <protection locked="0"/>
    </xf>
    <xf numFmtId="0" fontId="34" fillId="15" borderId="11" xfId="0" applyFont="1" applyFill="1" applyBorder="1" applyAlignment="1" applyProtection="1">
      <alignment horizontal="left" vertical="center" wrapText="1"/>
      <protection locked="0"/>
    </xf>
    <xf numFmtId="0" fontId="38" fillId="17" borderId="11" xfId="0" applyFont="1" applyFill="1" applyBorder="1" applyAlignment="1" applyProtection="1">
      <alignment horizontal="right" vertical="center"/>
      <protection locked="0"/>
    </xf>
    <xf numFmtId="0" fontId="38" fillId="17" borderId="3" xfId="0" applyFont="1" applyFill="1" applyBorder="1" applyAlignment="1" applyProtection="1">
      <alignment horizontal="right" vertical="center"/>
      <protection locked="0"/>
    </xf>
    <xf numFmtId="0" fontId="38" fillId="17" borderId="9" xfId="0" applyFont="1" applyFill="1" applyBorder="1" applyAlignment="1" applyProtection="1">
      <alignment horizontal="right" vertical="center"/>
      <protection locked="0"/>
    </xf>
    <xf numFmtId="0" fontId="34" fillId="5" borderId="13" xfId="0" applyFont="1" applyFill="1" applyBorder="1" applyAlignment="1">
      <alignment horizontal="right" vertical="center"/>
    </xf>
    <xf numFmtId="0" fontId="39" fillId="5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/>
    </xf>
    <xf numFmtId="0" fontId="38" fillId="15" borderId="7" xfId="0" applyFont="1" applyFill="1" applyBorder="1" applyAlignment="1" applyProtection="1">
      <alignment horizontal="left" vertical="center"/>
      <protection locked="0"/>
    </xf>
    <xf numFmtId="0" fontId="38" fillId="15" borderId="5" xfId="0" applyFont="1" applyFill="1" applyBorder="1" applyAlignment="1" applyProtection="1">
      <alignment horizontal="left" vertical="center"/>
      <protection locked="0"/>
    </xf>
    <xf numFmtId="0" fontId="38" fillId="15" borderId="8" xfId="0" applyFont="1" applyFill="1" applyBorder="1" applyAlignment="1" applyProtection="1">
      <alignment horizontal="left" vertical="center"/>
      <protection locked="0"/>
    </xf>
    <xf numFmtId="0" fontId="38" fillId="15" borderId="7" xfId="0" applyFont="1" applyFill="1" applyBorder="1" applyAlignment="1" applyProtection="1">
      <alignment horizontal="left" vertical="center" wrapText="1"/>
      <protection locked="0"/>
    </xf>
    <xf numFmtId="0" fontId="38" fillId="15" borderId="5" xfId="0" applyFont="1" applyFill="1" applyBorder="1" applyAlignment="1" applyProtection="1">
      <alignment horizontal="left" vertical="center" wrapText="1"/>
      <protection locked="0"/>
    </xf>
    <xf numFmtId="0" fontId="38" fillId="15" borderId="8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Alignment="1">
      <alignment horizontal="center" vertical="top"/>
    </xf>
    <xf numFmtId="0" fontId="38" fillId="17" borderId="12" xfId="0" applyFont="1" applyFill="1" applyBorder="1" applyAlignment="1">
      <alignment horizontal="center" vertical="center"/>
    </xf>
    <xf numFmtId="0" fontId="38" fillId="17" borderId="13" xfId="0" applyFont="1" applyFill="1" applyBorder="1" applyAlignment="1">
      <alignment horizontal="center" vertical="center"/>
    </xf>
    <xf numFmtId="0" fontId="38" fillId="17" borderId="14" xfId="0" applyFont="1" applyFill="1" applyBorder="1" applyAlignment="1">
      <alignment horizontal="center" vertical="center"/>
    </xf>
    <xf numFmtId="0" fontId="38" fillId="17" borderId="7" xfId="0" applyFont="1" applyFill="1" applyBorder="1" applyAlignment="1">
      <alignment horizontal="center" vertical="center"/>
    </xf>
    <xf numFmtId="0" fontId="38" fillId="17" borderId="5" xfId="0" applyFont="1" applyFill="1" applyBorder="1" applyAlignment="1">
      <alignment horizontal="center" vertical="center"/>
    </xf>
    <xf numFmtId="0" fontId="38" fillId="17" borderId="8" xfId="0" applyFont="1" applyFill="1" applyBorder="1" applyAlignment="1">
      <alignment horizontal="center" vertical="center"/>
    </xf>
    <xf numFmtId="0" fontId="34" fillId="17" borderId="9" xfId="0" applyFont="1" applyFill="1" applyBorder="1" applyAlignment="1">
      <alignment horizontal="center" vertical="center"/>
    </xf>
    <xf numFmtId="0" fontId="34" fillId="17" borderId="10" xfId="0" applyFont="1" applyFill="1" applyBorder="1" applyAlignment="1">
      <alignment horizontal="center" vertical="center"/>
    </xf>
    <xf numFmtId="0" fontId="34" fillId="17" borderId="11" xfId="0" applyFont="1" applyFill="1" applyBorder="1" applyAlignment="1">
      <alignment horizontal="center" vertical="center"/>
    </xf>
    <xf numFmtId="0" fontId="34" fillId="17" borderId="13" xfId="0" applyFont="1" applyFill="1" applyBorder="1" applyAlignment="1">
      <alignment horizontal="center" vertical="center"/>
    </xf>
    <xf numFmtId="0" fontId="38" fillId="19" borderId="3" xfId="0" applyFont="1" applyFill="1" applyBorder="1" applyAlignment="1">
      <alignment horizontal="center" vertical="center"/>
    </xf>
    <xf numFmtId="0" fontId="38" fillId="20" borderId="3" xfId="0" applyFont="1" applyFill="1" applyBorder="1" applyAlignment="1">
      <alignment horizontal="center" vertical="center"/>
    </xf>
    <xf numFmtId="14" fontId="39" fillId="15" borderId="7" xfId="0" applyNumberFormat="1" applyFont="1" applyFill="1" applyBorder="1" applyAlignment="1" applyProtection="1">
      <alignment horizontal="center" vertical="center"/>
      <protection locked="0"/>
    </xf>
    <xf numFmtId="14" fontId="39" fillId="15" borderId="8" xfId="0" applyNumberFormat="1" applyFont="1" applyFill="1" applyBorder="1" applyAlignment="1" applyProtection="1">
      <alignment horizontal="center" vertical="center"/>
      <protection locked="0"/>
    </xf>
    <xf numFmtId="0" fontId="38" fillId="15" borderId="1" xfId="0" applyFont="1" applyFill="1" applyBorder="1" applyAlignment="1" applyProtection="1">
      <alignment horizontal="left" vertical="center"/>
      <protection locked="0"/>
    </xf>
    <xf numFmtId="0" fontId="38" fillId="15" borderId="0" xfId="0" applyFont="1" applyFill="1" applyAlignment="1" applyProtection="1">
      <alignment horizontal="left" vertical="center"/>
      <protection locked="0"/>
    </xf>
    <xf numFmtId="0" fontId="38" fillId="15" borderId="6" xfId="0" applyFont="1" applyFill="1" applyBorder="1" applyAlignment="1" applyProtection="1">
      <alignment horizontal="left" vertical="center"/>
      <protection locked="0"/>
    </xf>
    <xf numFmtId="0" fontId="90" fillId="35" borderId="7" xfId="0" applyFont="1" applyFill="1" applyBorder="1" applyAlignment="1">
      <alignment horizontal="center" vertical="center" wrapText="1"/>
    </xf>
    <xf numFmtId="0" fontId="90" fillId="35" borderId="10" xfId="0" applyFont="1" applyFill="1" applyBorder="1" applyAlignment="1">
      <alignment horizontal="center" vertical="center" wrapText="1"/>
    </xf>
    <xf numFmtId="0" fontId="90" fillId="35" borderId="11" xfId="0" applyFont="1" applyFill="1" applyBorder="1" applyAlignment="1">
      <alignment horizontal="center" vertical="center" wrapText="1"/>
    </xf>
    <xf numFmtId="44" fontId="85" fillId="10" borderId="7" xfId="5" applyFont="1" applyFill="1" applyBorder="1" applyAlignment="1">
      <alignment horizontal="left" vertical="center" wrapText="1"/>
    </xf>
    <xf numFmtId="44" fontId="85" fillId="10" borderId="5" xfId="5" applyFont="1" applyFill="1" applyBorder="1" applyAlignment="1">
      <alignment horizontal="left" vertical="center" wrapText="1"/>
    </xf>
    <xf numFmtId="0" fontId="82" fillId="13" borderId="9" xfId="0" applyFont="1" applyFill="1" applyBorder="1" applyAlignment="1">
      <alignment horizontal="center" vertical="center"/>
    </xf>
    <xf numFmtId="0" fontId="82" fillId="13" borderId="10" xfId="0" applyFont="1" applyFill="1" applyBorder="1" applyAlignment="1">
      <alignment horizontal="center" vertical="center"/>
    </xf>
    <xf numFmtId="0" fontId="90" fillId="35" borderId="12" xfId="0" applyFont="1" applyFill="1" applyBorder="1" applyAlignment="1">
      <alignment horizontal="center" vertical="center" wrapText="1"/>
    </xf>
    <xf numFmtId="0" fontId="91" fillId="14" borderId="3" xfId="0" applyFont="1" applyFill="1" applyBorder="1" applyAlignment="1">
      <alignment horizontal="center" vertical="center" wrapText="1"/>
    </xf>
    <xf numFmtId="167" fontId="78" fillId="14" borderId="3" xfId="0" applyNumberFormat="1" applyFont="1" applyFill="1" applyBorder="1" applyAlignment="1">
      <alignment horizontal="right" vertical="center" wrapText="1"/>
    </xf>
    <xf numFmtId="10" fontId="92" fillId="0" borderId="3" xfId="0" applyNumberFormat="1" applyFont="1" applyBorder="1" applyAlignment="1">
      <alignment horizontal="center" vertical="center" wrapText="1"/>
    </xf>
    <xf numFmtId="0" fontId="85" fillId="10" borderId="1" xfId="0" applyFont="1" applyFill="1" applyBorder="1" applyAlignment="1">
      <alignment horizontal="center" vertical="center" wrapText="1"/>
    </xf>
    <xf numFmtId="0" fontId="85" fillId="10" borderId="0" xfId="0" applyFont="1" applyFill="1" applyAlignment="1">
      <alignment horizontal="center" vertical="center" wrapText="1"/>
    </xf>
    <xf numFmtId="43" fontId="27" fillId="7" borderId="3" xfId="11" applyFont="1" applyFill="1" applyBorder="1" applyAlignment="1">
      <alignment horizontal="center" vertical="center"/>
    </xf>
    <xf numFmtId="10" fontId="88" fillId="7" borderId="3" xfId="11" applyNumberFormat="1" applyFont="1" applyFill="1" applyBorder="1" applyAlignment="1">
      <alignment horizontal="right" vertical="center"/>
    </xf>
    <xf numFmtId="43" fontId="27" fillId="0" borderId="3" xfId="11" applyFont="1" applyBorder="1" applyAlignment="1">
      <alignment horizontal="center" vertical="center" textRotation="60"/>
    </xf>
    <xf numFmtId="43" fontId="28" fillId="0" borderId="3" xfId="11" applyFont="1" applyBorder="1" applyAlignment="1">
      <alignment horizontal="center" vertical="center"/>
    </xf>
    <xf numFmtId="43" fontId="28" fillId="0" borderId="12" xfId="11" applyFont="1" applyBorder="1" applyAlignment="1">
      <alignment horizontal="center"/>
    </xf>
    <xf numFmtId="43" fontId="28" fillId="0" borderId="13" xfId="11" applyFont="1" applyBorder="1" applyAlignment="1">
      <alignment horizontal="center"/>
    </xf>
    <xf numFmtId="43" fontId="28" fillId="0" borderId="14" xfId="11" applyFont="1" applyBorder="1" applyAlignment="1">
      <alignment horizontal="center"/>
    </xf>
    <xf numFmtId="43" fontId="89" fillId="0" borderId="2" xfId="11" applyFont="1" applyBorder="1" applyAlignment="1">
      <alignment horizontal="center" vertical="center" wrapText="1"/>
    </xf>
    <xf numFmtId="43" fontId="89" fillId="0" borderId="2" xfId="11" applyFont="1" applyBorder="1" applyAlignment="1">
      <alignment horizontal="center" vertical="center"/>
    </xf>
    <xf numFmtId="43" fontId="89" fillId="0" borderId="4" xfId="11" applyFont="1" applyBorder="1" applyAlignment="1">
      <alignment horizontal="center" vertical="center"/>
    </xf>
    <xf numFmtId="43" fontId="89" fillId="0" borderId="1" xfId="11" applyFont="1" applyBorder="1" applyAlignment="1">
      <alignment horizontal="center" vertical="center" wrapText="1"/>
    </xf>
    <xf numFmtId="43" fontId="89" fillId="0" borderId="0" xfId="11" applyFont="1" applyBorder="1" applyAlignment="1">
      <alignment horizontal="center" vertical="center"/>
    </xf>
    <xf numFmtId="43" fontId="89" fillId="0" borderId="6" xfId="11" applyFont="1" applyBorder="1" applyAlignment="1">
      <alignment horizontal="center" vertical="center"/>
    </xf>
    <xf numFmtId="43" fontId="89" fillId="0" borderId="1" xfId="11" applyFont="1" applyBorder="1" applyAlignment="1">
      <alignment horizontal="center" vertical="center"/>
    </xf>
    <xf numFmtId="43" fontId="89" fillId="0" borderId="7" xfId="11" applyFont="1" applyBorder="1" applyAlignment="1">
      <alignment horizontal="center" vertical="center"/>
    </xf>
    <xf numFmtId="43" fontId="89" fillId="0" borderId="5" xfId="11" applyFont="1" applyBorder="1" applyAlignment="1">
      <alignment horizontal="center" vertical="center"/>
    </xf>
    <xf numFmtId="43" fontId="89" fillId="0" borderId="8" xfId="11" applyFont="1" applyBorder="1" applyAlignment="1">
      <alignment horizontal="center" vertical="center"/>
    </xf>
    <xf numFmtId="43" fontId="89" fillId="0" borderId="0" xfId="11" applyFont="1" applyBorder="1" applyAlignment="1">
      <alignment horizontal="center" vertical="center" wrapText="1"/>
    </xf>
    <xf numFmtId="43" fontId="89" fillId="0" borderId="6" xfId="11" applyFont="1" applyBorder="1" applyAlignment="1">
      <alignment horizontal="center" vertical="center" wrapText="1"/>
    </xf>
    <xf numFmtId="43" fontId="89" fillId="0" borderId="7" xfId="11" applyFont="1" applyBorder="1" applyAlignment="1">
      <alignment horizontal="center" vertical="center" wrapText="1"/>
    </xf>
    <xf numFmtId="43" fontId="89" fillId="0" borderId="5" xfId="11" applyFont="1" applyBorder="1" applyAlignment="1">
      <alignment horizontal="center" vertical="center" wrapText="1"/>
    </xf>
    <xf numFmtId="43" fontId="89" fillId="0" borderId="8" xfId="11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43" fontId="27" fillId="8" borderId="3" xfId="11" applyFont="1" applyFill="1" applyBorder="1" applyAlignment="1">
      <alignment horizontal="center" vertical="center"/>
    </xf>
    <xf numFmtId="43" fontId="88" fillId="8" borderId="9" xfId="11" applyFont="1" applyFill="1" applyBorder="1" applyAlignment="1">
      <alignment horizontal="center" vertical="center"/>
    </xf>
    <xf numFmtId="43" fontId="88" fillId="8" borderId="11" xfId="11" applyFont="1" applyFill="1" applyBorder="1" applyAlignment="1">
      <alignment horizontal="center" vertical="center"/>
    </xf>
    <xf numFmtId="0" fontId="82" fillId="0" borderId="3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82" fillId="34" borderId="9" xfId="0" applyFont="1" applyFill="1" applyBorder="1" applyAlignment="1">
      <alignment horizontal="center" vertical="center" wrapText="1"/>
    </xf>
    <xf numFmtId="0" fontId="82" fillId="34" borderId="10" xfId="0" applyFont="1" applyFill="1" applyBorder="1" applyAlignment="1">
      <alignment horizontal="center" vertical="center" wrapText="1"/>
    </xf>
    <xf numFmtId="0" fontId="82" fillId="34" borderId="11" xfId="0" applyFont="1" applyFill="1" applyBorder="1" applyAlignment="1">
      <alignment horizontal="center" vertical="center" wrapText="1"/>
    </xf>
    <xf numFmtId="0" fontId="37" fillId="27" borderId="9" xfId="11" applyNumberFormat="1" applyFont="1" applyFill="1" applyBorder="1" applyAlignment="1">
      <alignment horizontal="center" vertical="center"/>
    </xf>
    <xf numFmtId="0" fontId="37" fillId="27" borderId="10" xfId="11" applyNumberFormat="1" applyFont="1" applyFill="1" applyBorder="1" applyAlignment="1">
      <alignment horizontal="center" vertical="center"/>
    </xf>
    <xf numFmtId="0" fontId="37" fillId="27" borderId="11" xfId="11" applyNumberFormat="1" applyFont="1" applyFill="1" applyBorder="1" applyAlignment="1">
      <alignment horizontal="center" vertical="center"/>
    </xf>
    <xf numFmtId="0" fontId="83" fillId="0" borderId="3" xfId="0" applyFont="1" applyBorder="1" applyAlignment="1">
      <alignment horizontal="center" vertical="center"/>
    </xf>
    <xf numFmtId="2" fontId="83" fillId="0" borderId="3" xfId="0" applyNumberFormat="1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 wrapText="1"/>
    </xf>
    <xf numFmtId="0" fontId="83" fillId="0" borderId="2" xfId="0" applyFont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wrapText="1"/>
    </xf>
    <xf numFmtId="0" fontId="82" fillId="0" borderId="9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43" fontId="72" fillId="5" borderId="9" xfId="11" applyFont="1" applyFill="1" applyBorder="1" applyAlignment="1">
      <alignment horizontal="left" vertical="center"/>
    </xf>
    <xf numFmtId="43" fontId="72" fillId="5" borderId="11" xfId="11" applyFont="1" applyFill="1" applyBorder="1" applyAlignment="1">
      <alignment horizontal="left" vertical="center"/>
    </xf>
    <xf numFmtId="43" fontId="72" fillId="5" borderId="10" xfId="11" applyFont="1" applyFill="1" applyBorder="1" applyAlignment="1">
      <alignment horizontal="left" vertical="center"/>
    </xf>
    <xf numFmtId="0" fontId="84" fillId="14" borderId="3" xfId="0" applyFont="1" applyFill="1" applyBorder="1" applyAlignment="1">
      <alignment horizontal="center" vertical="center" wrapText="1"/>
    </xf>
    <xf numFmtId="0" fontId="80" fillId="5" borderId="57" xfId="0" applyFont="1" applyFill="1" applyBorder="1" applyAlignment="1">
      <alignment horizontal="left" vertical="center" wrapText="1"/>
    </xf>
    <xf numFmtId="0" fontId="80" fillId="5" borderId="10" xfId="0" applyFont="1" applyFill="1" applyBorder="1" applyAlignment="1">
      <alignment horizontal="left" vertical="center" wrapText="1"/>
    </xf>
    <xf numFmtId="0" fontId="80" fillId="5" borderId="11" xfId="0" applyFont="1" applyFill="1" applyBorder="1" applyAlignment="1">
      <alignment horizontal="left" vertical="center" wrapText="1"/>
    </xf>
    <xf numFmtId="0" fontId="37" fillId="5" borderId="40" xfId="0" applyFont="1" applyFill="1" applyBorder="1" applyAlignment="1">
      <alignment horizontal="left" vertical="center" wrapText="1"/>
    </xf>
    <xf numFmtId="0" fontId="37" fillId="5" borderId="41" xfId="0" applyFont="1" applyFill="1" applyBorder="1" applyAlignment="1">
      <alignment horizontal="left" vertical="center" wrapText="1"/>
    </xf>
    <xf numFmtId="0" fontId="37" fillId="5" borderId="42" xfId="0" applyFont="1" applyFill="1" applyBorder="1" applyAlignment="1">
      <alignment horizontal="left" vertical="center" wrapText="1"/>
    </xf>
    <xf numFmtId="0" fontId="74" fillId="5" borderId="12" xfId="0" applyFont="1" applyFill="1" applyBorder="1" applyAlignment="1">
      <alignment horizontal="center" vertical="center" wrapText="1"/>
    </xf>
    <xf numFmtId="0" fontId="74" fillId="5" borderId="13" xfId="0" applyFont="1" applyFill="1" applyBorder="1" applyAlignment="1">
      <alignment horizontal="center" vertical="center" wrapText="1"/>
    </xf>
    <xf numFmtId="0" fontId="74" fillId="5" borderId="14" xfId="0" applyFont="1" applyFill="1" applyBorder="1" applyAlignment="1">
      <alignment horizontal="center" vertical="center" wrapText="1"/>
    </xf>
    <xf numFmtId="0" fontId="74" fillId="5" borderId="7" xfId="0" applyFont="1" applyFill="1" applyBorder="1" applyAlignment="1">
      <alignment horizontal="center" vertical="center" wrapText="1"/>
    </xf>
    <xf numFmtId="0" fontId="74" fillId="5" borderId="5" xfId="0" applyFont="1" applyFill="1" applyBorder="1" applyAlignment="1">
      <alignment horizontal="center" vertical="center" wrapText="1"/>
    </xf>
    <xf numFmtId="0" fontId="74" fillId="5" borderId="8" xfId="0" applyFont="1" applyFill="1" applyBorder="1" applyAlignment="1">
      <alignment horizontal="center" vertical="center" wrapText="1"/>
    </xf>
    <xf numFmtId="43" fontId="72" fillId="5" borderId="41" xfId="11" applyFont="1" applyFill="1" applyBorder="1" applyAlignment="1">
      <alignment horizontal="center" vertical="center"/>
    </xf>
    <xf numFmtId="43" fontId="72" fillId="5" borderId="45" xfId="11" applyFont="1" applyFill="1" applyBorder="1" applyAlignment="1">
      <alignment horizontal="center" vertical="center"/>
    </xf>
    <xf numFmtId="49" fontId="76" fillId="5" borderId="13" xfId="11" applyNumberFormat="1" applyFont="1" applyFill="1" applyBorder="1" applyAlignment="1">
      <alignment horizontal="center" vertical="center"/>
    </xf>
    <xf numFmtId="49" fontId="76" fillId="5" borderId="14" xfId="11" applyNumberFormat="1" applyFont="1" applyFill="1" applyBorder="1" applyAlignment="1">
      <alignment horizontal="center" vertical="center"/>
    </xf>
    <xf numFmtId="49" fontId="76" fillId="5" borderId="5" xfId="11" applyNumberFormat="1" applyFont="1" applyFill="1" applyBorder="1" applyAlignment="1">
      <alignment horizontal="center" vertical="center"/>
    </xf>
    <xf numFmtId="49" fontId="76" fillId="5" borderId="8" xfId="11" applyNumberFormat="1" applyFont="1" applyFill="1" applyBorder="1" applyAlignment="1">
      <alignment horizontal="center" vertical="center"/>
    </xf>
    <xf numFmtId="49" fontId="77" fillId="5" borderId="43" xfId="11" applyNumberFormat="1" applyFont="1" applyFill="1" applyBorder="1" applyAlignment="1">
      <alignment horizontal="center" vertical="center" wrapText="1"/>
    </xf>
    <xf numFmtId="49" fontId="77" fillId="5" borderId="46" xfId="11" applyNumberFormat="1" applyFont="1" applyFill="1" applyBorder="1" applyAlignment="1">
      <alignment horizontal="center" vertical="center" wrapText="1"/>
    </xf>
    <xf numFmtId="49" fontId="77" fillId="5" borderId="51" xfId="11" applyNumberFormat="1" applyFont="1" applyFill="1" applyBorder="1" applyAlignment="1">
      <alignment horizontal="center" vertical="center" wrapText="1"/>
    </xf>
    <xf numFmtId="0" fontId="37" fillId="5" borderId="16" xfId="0" applyFont="1" applyFill="1" applyBorder="1" applyAlignment="1">
      <alignment horizontal="left" vertical="center" wrapText="1"/>
    </xf>
    <xf numFmtId="0" fontId="37" fillId="5" borderId="47" xfId="0" applyFont="1" applyFill="1" applyBorder="1" applyAlignment="1">
      <alignment horizontal="left" vertical="center" wrapText="1"/>
    </xf>
    <xf numFmtId="0" fontId="80" fillId="5" borderId="49" xfId="0" applyFont="1" applyFill="1" applyBorder="1" applyAlignment="1">
      <alignment horizontal="left" vertical="center" wrapText="1"/>
    </xf>
    <xf numFmtId="0" fontId="80" fillId="5" borderId="45" xfId="0" applyFont="1" applyFill="1" applyBorder="1" applyAlignment="1">
      <alignment horizontal="left" vertical="center" wrapText="1"/>
    </xf>
    <xf numFmtId="0" fontId="80" fillId="5" borderId="50" xfId="0" applyFont="1" applyFill="1" applyBorder="1" applyAlignment="1">
      <alignment horizontal="left" vertical="center" wrapText="1"/>
    </xf>
    <xf numFmtId="1" fontId="72" fillId="0" borderId="9" xfId="0" applyNumberFormat="1" applyFont="1" applyBorder="1" applyAlignment="1">
      <alignment horizontal="center" vertical="center"/>
    </xf>
    <xf numFmtId="1" fontId="72" fillId="0" borderId="10" xfId="0" applyNumberFormat="1" applyFont="1" applyBorder="1" applyAlignment="1">
      <alignment horizontal="center" vertical="center"/>
    </xf>
    <xf numFmtId="1" fontId="72" fillId="0" borderId="11" xfId="0" applyNumberFormat="1" applyFont="1" applyBorder="1" applyAlignment="1">
      <alignment horizontal="center" vertical="center"/>
    </xf>
    <xf numFmtId="0" fontId="81" fillId="33" borderId="9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81" fillId="33" borderId="11" xfId="0" applyFont="1" applyFill="1" applyBorder="1" applyAlignment="1">
      <alignment horizontal="center" vertical="center" wrapText="1"/>
    </xf>
    <xf numFmtId="0" fontId="82" fillId="10" borderId="12" xfId="0" applyFont="1" applyFill="1" applyBorder="1" applyAlignment="1">
      <alignment horizontal="center" vertical="center" wrapText="1"/>
    </xf>
    <xf numFmtId="0" fontId="82" fillId="10" borderId="13" xfId="0" applyFont="1" applyFill="1" applyBorder="1" applyAlignment="1">
      <alignment horizontal="center" vertical="center" wrapText="1"/>
    </xf>
    <xf numFmtId="0" fontId="82" fillId="10" borderId="14" xfId="0" applyFont="1" applyFill="1" applyBorder="1" applyAlignment="1">
      <alignment horizontal="center" vertical="center" wrapText="1"/>
    </xf>
    <xf numFmtId="167" fontId="102" fillId="10" borderId="3" xfId="0" applyNumberFormat="1" applyFont="1" applyFill="1" applyBorder="1" applyAlignment="1">
      <alignment horizontal="center" vertical="center"/>
    </xf>
    <xf numFmtId="0" fontId="97" fillId="5" borderId="14" xfId="0" applyFont="1" applyFill="1" applyBorder="1" applyAlignment="1">
      <alignment horizontal="center" vertical="center"/>
    </xf>
    <xf numFmtId="0" fontId="97" fillId="5" borderId="6" xfId="0" applyFont="1" applyFill="1" applyBorder="1" applyAlignment="1">
      <alignment horizontal="center" vertical="center"/>
    </xf>
    <xf numFmtId="0" fontId="97" fillId="5" borderId="8" xfId="0" applyFont="1" applyFill="1" applyBorder="1" applyAlignment="1">
      <alignment horizontal="center" vertical="center"/>
    </xf>
    <xf numFmtId="49" fontId="91" fillId="5" borderId="9" xfId="11" applyNumberFormat="1" applyFont="1" applyFill="1" applyBorder="1" applyAlignment="1">
      <alignment horizontal="center" vertical="center" wrapText="1"/>
    </xf>
    <xf numFmtId="49" fontId="91" fillId="5" borderId="11" xfId="11" applyNumberFormat="1" applyFont="1" applyFill="1" applyBorder="1" applyAlignment="1">
      <alignment horizontal="center" vertical="center" wrapText="1"/>
    </xf>
    <xf numFmtId="43" fontId="72" fillId="5" borderId="7" xfId="11" applyFont="1" applyFill="1" applyBorder="1" applyAlignment="1">
      <alignment horizontal="left" vertical="center"/>
    </xf>
    <xf numFmtId="43" fontId="72" fillId="5" borderId="8" xfId="11" applyFont="1" applyFill="1" applyBorder="1" applyAlignment="1">
      <alignment horizontal="left" vertical="center"/>
    </xf>
    <xf numFmtId="43" fontId="72" fillId="5" borderId="12" xfId="11" applyFont="1" applyFill="1" applyBorder="1" applyAlignment="1">
      <alignment horizontal="left" vertical="center"/>
    </xf>
    <xf numFmtId="43" fontId="72" fillId="5" borderId="14" xfId="11" applyFont="1" applyFill="1" applyBorder="1" applyAlignment="1">
      <alignment horizontal="left" vertical="center"/>
    </xf>
    <xf numFmtId="43" fontId="72" fillId="5" borderId="12" xfId="11" applyFont="1" applyFill="1" applyBorder="1" applyAlignment="1">
      <alignment horizontal="center" vertical="center" wrapText="1"/>
    </xf>
    <xf numFmtId="43" fontId="72" fillId="5" borderId="14" xfId="11" applyFont="1" applyFill="1" applyBorder="1" applyAlignment="1">
      <alignment horizontal="center" vertical="center" wrapText="1"/>
    </xf>
    <xf numFmtId="43" fontId="72" fillId="5" borderId="7" xfId="11" applyFont="1" applyFill="1" applyBorder="1" applyAlignment="1">
      <alignment horizontal="center" vertical="center" wrapText="1"/>
    </xf>
    <xf numFmtId="43" fontId="72" fillId="5" borderId="8" xfId="1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center" vertical="center" wrapText="1"/>
    </xf>
    <xf numFmtId="0" fontId="10" fillId="4" borderId="2" xfId="3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9" fontId="20" fillId="0" borderId="0" xfId="6" applyFont="1"/>
    <xf numFmtId="10" fontId="19" fillId="0" borderId="3" xfId="0" applyNumberFormat="1" applyFont="1" applyBorder="1" applyAlignment="1">
      <alignment horizontal="center" vertical="center"/>
    </xf>
    <xf numFmtId="10" fontId="0" fillId="0" borderId="0" xfId="5" applyNumberFormat="1" applyFont="1"/>
    <xf numFmtId="44" fontId="86" fillId="0" borderId="0" xfId="5" applyFont="1" applyFill="1"/>
    <xf numFmtId="44" fontId="85" fillId="0" borderId="0" xfId="5" applyFont="1" applyFill="1"/>
    <xf numFmtId="44" fontId="85" fillId="0" borderId="56" xfId="5" applyFont="1" applyFill="1" applyBorder="1"/>
    <xf numFmtId="44" fontId="33" fillId="0" borderId="0" xfId="5" applyFont="1" applyFill="1"/>
    <xf numFmtId="167" fontId="0" fillId="5" borderId="0" xfId="0" applyNumberFormat="1" applyFill="1"/>
  </cellXfs>
  <cellStyles count="14">
    <cellStyle name="Excel Built-in Comma" xfId="13" xr:uid="{1354BFF2-286B-4AEF-A659-A57AB10274B4}"/>
    <cellStyle name="Moeda" xfId="5" builtinId="4"/>
    <cellStyle name="Normal" xfId="0" builtinId="0"/>
    <cellStyle name="Normal 2" xfId="1" xr:uid="{00000000-0005-0000-0000-000002000000}"/>
    <cellStyle name="Normal 3" xfId="9" xr:uid="{00000000-0005-0000-0000-000003000000}"/>
    <cellStyle name="Normal 4 2" xfId="7" xr:uid="{00000000-0005-0000-0000-000004000000}"/>
    <cellStyle name="Normal_Pesquisa no referencial 10 de maio de 2013" xfId="3" xr:uid="{00000000-0005-0000-0000-000005000000}"/>
    <cellStyle name="Normal_Pesquisa no referencial 10 de maio de 2013 2" xfId="4" xr:uid="{00000000-0005-0000-0000-000006000000}"/>
    <cellStyle name="Porcentagem" xfId="6" builtinId="5"/>
    <cellStyle name="Porcentagem 3" xfId="10" xr:uid="{00000000-0005-0000-0000-000008000000}"/>
    <cellStyle name="Separador de milhares 2 2" xfId="12" xr:uid="{83A995D3-87CC-488B-B19B-63E56F6EAA6F}"/>
    <cellStyle name="Vírgula" xfId="11" builtinId="3"/>
    <cellStyle name="Vírgula 2" xfId="2" xr:uid="{00000000-0005-0000-0000-000009000000}"/>
    <cellStyle name="Vírgula 3" xfId="8" xr:uid="{00000000-0005-0000-0000-00000A000000}"/>
  </cellStyles>
  <dxfs count="2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1"/>
        </patternFill>
      </fill>
    </dxf>
    <dxf>
      <fill>
        <patternFill patternType="solid">
          <bgColor indexed="26"/>
        </patternFill>
      </fill>
    </dxf>
    <dxf>
      <fill>
        <patternFill patternType="lightUp"/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A7"/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1296795</xdr:colOff>
      <xdr:row>0</xdr:row>
      <xdr:rowOff>0</xdr:rowOff>
    </xdr:from>
    <xdr:to>
      <xdr:col>7</xdr:col>
      <xdr:colOff>1945021</xdr:colOff>
      <xdr:row>3</xdr:row>
      <xdr:rowOff>149780</xdr:rowOff>
    </xdr:to>
    <xdr:pic>
      <xdr:nvPicPr>
        <xdr:cNvPr id="3" name="Imagem 2" descr="Brasao de..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2477" y="0"/>
          <a:ext cx="648226" cy="721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1095376</xdr:colOff>
      <xdr:row>133</xdr:row>
      <xdr:rowOff>47626</xdr:rowOff>
    </xdr:from>
    <xdr:ext cx="4981574" cy="4000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1095376" y="17659351"/>
              <a:ext cx="4981574" cy="4000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d>
                    <m:dPr>
                      <m:ctrlPr>
                        <a:rPr lang="en-US" sz="12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US" sz="1200" b="0" i="1">
                          <a:latin typeface="Cambria Math" panose="02040503050406030204" pitchFamily="18" charset="0"/>
                        </a:rPr>
                        <m:t>%</m:t>
                      </m:r>
                    </m:e>
                  </m:d>
                  <m:r>
                    <a:rPr lang="en-US" sz="1200" b="0" i="1">
                      <a:latin typeface="Cambria Math" panose="02040503050406030204" pitchFamily="18" charset="0"/>
                    </a:rPr>
                    <m:t>𝐷𝑒𝑠𝑐𝑜𝑛𝑡𝑜</m:t>
                  </m:r>
                  <m:r>
                    <a:rPr lang="en-US" sz="1200" b="0" i="1">
                      <a:latin typeface="Cambria Math" panose="02040503050406030204" pitchFamily="18" charset="0"/>
                    </a:rPr>
                    <m:t>=( </m:t>
                  </m:r>
                  <m:f>
                    <m:fPr>
                      <m:ctrlPr>
                        <a:rPr lang="en-US" sz="12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𝑇𝑂𝑇𝐴𝐿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𝑜𝑟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ç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𝑎𝑚𝑒𝑛𝑡𝑜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𝑝𝑎𝑟𝑎𝑑𝑖𝑔𝑚𝑎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−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𝑇𝑂𝑇𝐴𝐿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𝑜𝑟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ç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𝑎𝑚𝑒𝑛𝑡𝑜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𝑐𝑜𝑛𝑡𝑟𝑎𝑡𝑎𝑑𝑜</m:t>
                      </m:r>
                    </m:num>
                    <m:den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𝑇𝑂𝑇𝐴𝐿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𝑜𝑟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ç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𝑎𝑚𝑒𝑛𝑡𝑜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𝑝𝑎𝑟𝑎𝑑𝑖𝑔𝑚𝑎</m:t>
                      </m:r>
                    </m:den>
                  </m:f>
                </m:oMath>
              </a14:m>
              <a:r>
                <a:rPr lang="pt-BR" sz="1200"/>
                <a:t> </a:t>
              </a:r>
              <a:r>
                <a:rPr lang="pt-BR" sz="1100"/>
                <a:t>).100</a:t>
              </a:r>
            </a:p>
          </xdr:txBody>
        </xdr:sp>
      </mc:Choice>
      <mc:Fallback xmlns="">
        <xdr:sp macro="" textlink="">
          <xdr:nvSpPr>
            <xdr:cNvPr id="2" name="CaixaDeTexto 1"/>
            <xdr:cNvSpPr txBox="1"/>
          </xdr:nvSpPr>
          <xdr:spPr>
            <a:xfrm>
              <a:off x="1095376" y="17659351"/>
              <a:ext cx="4981574" cy="4000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200" b="0" i="0">
                  <a:latin typeface="Cambria Math" panose="02040503050406030204" pitchFamily="18" charset="0"/>
                </a:rPr>
                <a:t>(%)𝐷𝑒𝑠𝑐𝑜𝑛𝑡𝑜=(  (𝑇𝑂𝑇𝐴𝐿 𝑜𝑟ç𝑎𝑚𝑒𝑛𝑡𝑜 𝑝𝑎𝑟𝑎𝑑𝑖𝑔𝑚𝑎 −𝑇𝑂𝑇𝐴𝐿 𝑜𝑟ç𝑎𝑚𝑒𝑛𝑡𝑜 𝑐𝑜𝑛𝑡𝑟𝑎𝑡𝑎𝑑𝑜)/(𝑇𝑂𝑇𝐴𝐿 𝑜𝑟ç𝑎𝑚𝑒𝑛𝑡𝑜 𝑝𝑎𝑟𝑎𝑑𝑖𝑔𝑚𝑎)</a:t>
              </a:r>
              <a:r>
                <a:rPr lang="pt-BR" sz="1200"/>
                <a:t> </a:t>
              </a:r>
              <a:r>
                <a:rPr lang="pt-BR" sz="1100"/>
                <a:t>).100</a:t>
              </a:r>
            </a:p>
          </xdr:txBody>
        </xdr:sp>
      </mc:Fallback>
    </mc:AlternateContent>
    <xdr:clientData/>
  </xdr:oneCellAnchor>
  <xdr:oneCellAnchor>
    <xdr:from>
      <xdr:col>2</xdr:col>
      <xdr:colOff>304800</xdr:colOff>
      <xdr:row>137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23975" y="2007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547253</xdr:colOff>
      <xdr:row>0</xdr:row>
      <xdr:rowOff>155863</xdr:rowOff>
    </xdr:from>
    <xdr:to>
      <xdr:col>6</xdr:col>
      <xdr:colOff>118191</xdr:colOff>
      <xdr:row>3</xdr:row>
      <xdr:rowOff>536863</xdr:rowOff>
    </xdr:to>
    <xdr:pic>
      <xdr:nvPicPr>
        <xdr:cNvPr id="4" name="Imagem 3" descr="Brasao de..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6253" y="155863"/>
          <a:ext cx="939074" cy="11083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1095376</xdr:colOff>
      <xdr:row>106</xdr:row>
      <xdr:rowOff>47626</xdr:rowOff>
    </xdr:from>
    <xdr:ext cx="4981574" cy="4000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1095376" y="76152376"/>
              <a:ext cx="4981574" cy="4000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d>
                    <m:dPr>
                      <m:ctrlPr>
                        <a:rPr lang="en-US" sz="12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US" sz="1200" b="0" i="1">
                          <a:latin typeface="Cambria Math" panose="02040503050406030204" pitchFamily="18" charset="0"/>
                        </a:rPr>
                        <m:t>%</m:t>
                      </m:r>
                    </m:e>
                  </m:d>
                  <m:r>
                    <a:rPr lang="en-US" sz="1200" b="0" i="1">
                      <a:latin typeface="Cambria Math" panose="02040503050406030204" pitchFamily="18" charset="0"/>
                    </a:rPr>
                    <m:t>𝐷𝑒𝑠𝑐𝑜𝑛𝑡𝑜</m:t>
                  </m:r>
                  <m:r>
                    <a:rPr lang="en-US" sz="1200" b="0" i="1">
                      <a:latin typeface="Cambria Math" panose="02040503050406030204" pitchFamily="18" charset="0"/>
                    </a:rPr>
                    <m:t>=( </m:t>
                  </m:r>
                  <m:f>
                    <m:fPr>
                      <m:ctrlPr>
                        <a:rPr lang="en-US" sz="12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𝑇𝑂𝑇𝐴𝐿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𝑜𝑟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ç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𝑎𝑚𝑒𝑛𝑡𝑜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𝑝𝑎𝑟𝑎𝑑𝑖𝑔𝑚𝑎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−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𝑇𝑂𝑇𝐴𝐿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𝑜𝑟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ç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𝑎𝑚𝑒𝑛𝑡𝑜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𝑐𝑜𝑛𝑡𝑟𝑎𝑡𝑎𝑑𝑜</m:t>
                      </m:r>
                    </m:num>
                    <m:den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𝑇𝑂𝑇𝐴𝐿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𝑜𝑟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ç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𝑎𝑚𝑒𝑛𝑡𝑜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𝑝𝑎𝑟𝑎𝑑𝑖𝑔𝑚𝑎</m:t>
                      </m:r>
                    </m:den>
                  </m:f>
                </m:oMath>
              </a14:m>
              <a:r>
                <a:rPr lang="pt-BR" sz="1200"/>
                <a:t> </a:t>
              </a:r>
              <a:r>
                <a:rPr lang="pt-BR" sz="1100"/>
                <a:t>).100</a:t>
              </a:r>
            </a:p>
          </xdr:txBody>
        </xdr:sp>
      </mc:Choice>
      <mc:Fallback xmlns="">
        <xdr:sp macro="" textlink="">
          <xdr:nvSpPr>
            <xdr:cNvPr id="3" name="CaixaDeTexto 2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000-000002000000}"/>
                </a:ext>
              </a:extLst>
            </xdr:cNvPr>
            <xdr:cNvSpPr txBox="1"/>
          </xdr:nvSpPr>
          <xdr:spPr>
            <a:xfrm>
              <a:off x="1095376" y="76152376"/>
              <a:ext cx="4981574" cy="4000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200" b="0" i="0">
                  <a:latin typeface="Cambria Math"/>
                </a:rPr>
                <a:t>(</a:t>
              </a:r>
              <a:r>
                <a:rPr lang="en-US" sz="1200" b="0" i="0">
                  <a:latin typeface="Cambria Math" panose="02040503050406030204" pitchFamily="18" charset="0"/>
                </a:rPr>
                <a:t>%</a:t>
              </a:r>
              <a:r>
                <a:rPr lang="en-US" sz="1200" b="0" i="0">
                  <a:latin typeface="Cambria Math"/>
                </a:rPr>
                <a:t>)</a:t>
              </a:r>
              <a:r>
                <a:rPr lang="en-US" sz="1200" b="0" i="0">
                  <a:latin typeface="Cambria Math" panose="02040503050406030204" pitchFamily="18" charset="0"/>
                </a:rPr>
                <a:t>𝐷𝑒𝑠𝑐𝑜𝑛𝑡𝑜=(  </a:t>
              </a:r>
              <a:r>
                <a:rPr lang="en-US" sz="1200" b="0" i="0">
                  <a:latin typeface="Cambria Math"/>
                </a:rPr>
                <a:t>(</a:t>
              </a:r>
              <a:r>
                <a:rPr lang="en-US" sz="1200" b="0" i="0">
                  <a:latin typeface="Cambria Math" panose="02040503050406030204" pitchFamily="18" charset="0"/>
                </a:rPr>
                <a:t>𝑇𝑂𝑇𝐴𝐿 𝑜𝑟ç𝑎𝑚𝑒𝑛𝑡𝑜 𝑝𝑎𝑟𝑎𝑑𝑖𝑔𝑚𝑎 −𝑇𝑂𝑇𝐴𝐿 𝑜𝑟ç𝑎𝑚𝑒𝑛𝑡𝑜 𝑐𝑜𝑛𝑡𝑟𝑎𝑡𝑎𝑑𝑜</a:t>
              </a:r>
              <a:r>
                <a:rPr lang="en-US" sz="1200" b="0" i="0">
                  <a:latin typeface="Cambria Math"/>
                </a:rPr>
                <a:t>)/(</a:t>
              </a:r>
              <a:r>
                <a:rPr lang="en-US" sz="1200" b="0" i="0">
                  <a:latin typeface="Cambria Math" panose="02040503050406030204" pitchFamily="18" charset="0"/>
                </a:rPr>
                <a:t>𝑇𝑂𝑇𝐴𝐿 𝑜𝑟ç𝑎𝑚𝑒𝑛𝑡𝑜 𝑝𝑎𝑟𝑎𝑑𝑖𝑔𝑚𝑎</a:t>
              </a:r>
              <a:r>
                <a:rPr lang="en-US" sz="1200" b="0" i="0">
                  <a:latin typeface="Cambria Math"/>
                </a:rPr>
                <a:t>)</a:t>
              </a:r>
              <a:r>
                <a:rPr lang="pt-BR" sz="1200"/>
                <a:t> </a:t>
              </a:r>
              <a:r>
                <a:rPr lang="pt-BR" sz="1100"/>
                <a:t>).100</a:t>
              </a:r>
            </a:p>
          </xdr:txBody>
        </xdr:sp>
      </mc:Fallback>
    </mc:AlternateContent>
    <xdr:clientData/>
  </xdr:oneCellAnchor>
  <xdr:oneCellAnchor>
    <xdr:from>
      <xdr:col>2</xdr:col>
      <xdr:colOff>304800</xdr:colOff>
      <xdr:row>110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819400" y="770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1095376</xdr:colOff>
      <xdr:row>114</xdr:row>
      <xdr:rowOff>47626</xdr:rowOff>
    </xdr:from>
    <xdr:ext cx="4981574" cy="4000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1095376" y="69494401"/>
              <a:ext cx="4981574" cy="4000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d>
                    <m:dPr>
                      <m:ctrlPr>
                        <a:rPr lang="en-US" sz="12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US" sz="1200" b="0" i="1">
                          <a:latin typeface="Cambria Math" panose="02040503050406030204" pitchFamily="18" charset="0"/>
                        </a:rPr>
                        <m:t>%</m:t>
                      </m:r>
                    </m:e>
                  </m:d>
                  <m:r>
                    <a:rPr lang="en-US" sz="1200" b="0" i="1">
                      <a:latin typeface="Cambria Math" panose="02040503050406030204" pitchFamily="18" charset="0"/>
                    </a:rPr>
                    <m:t>𝐷𝑒𝑠𝑐𝑜𝑛𝑡𝑜</m:t>
                  </m:r>
                  <m:r>
                    <a:rPr lang="en-US" sz="1200" b="0" i="1">
                      <a:latin typeface="Cambria Math" panose="02040503050406030204" pitchFamily="18" charset="0"/>
                    </a:rPr>
                    <m:t>=( </m:t>
                  </m:r>
                  <m:f>
                    <m:fPr>
                      <m:ctrlPr>
                        <a:rPr lang="en-US" sz="12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𝑇𝑂𝑇𝐴𝐿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𝑜𝑟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ç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𝑎𝑚𝑒𝑛𝑡𝑜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𝑝𝑎𝑟𝑎𝑑𝑖𝑔𝑚𝑎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−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𝑇𝑂𝑇𝐴𝐿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𝑜𝑟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ç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𝑎𝑚𝑒𝑛𝑡𝑜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𝑐𝑜𝑛𝑡𝑟𝑎𝑡𝑎𝑑𝑜</m:t>
                      </m:r>
                    </m:num>
                    <m:den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𝑇𝑂𝑇𝐴𝐿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𝑜𝑟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ç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𝑎𝑚𝑒𝑛𝑡𝑜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𝑝𝑎𝑟𝑎𝑑𝑖𝑔𝑚𝑎</m:t>
                      </m:r>
                    </m:den>
                  </m:f>
                </m:oMath>
              </a14:m>
              <a:r>
                <a:rPr lang="pt-BR" sz="1200"/>
                <a:t> </a:t>
              </a:r>
              <a:r>
                <a:rPr lang="pt-BR" sz="1100"/>
                <a:t>).100</a:t>
              </a:r>
            </a:p>
          </xdr:txBody>
        </xdr:sp>
      </mc:Choice>
      <mc:Fallback xmlns="">
        <xdr:sp macro="" textlink="">
          <xdr:nvSpPr>
            <xdr:cNvPr id="4" name="CaixaDeTexto 3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000-000002000000}"/>
                </a:ext>
              </a:extLst>
            </xdr:cNvPr>
            <xdr:cNvSpPr txBox="1"/>
          </xdr:nvSpPr>
          <xdr:spPr>
            <a:xfrm>
              <a:off x="1095376" y="69494401"/>
              <a:ext cx="4981574" cy="4000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200" b="0" i="0">
                  <a:latin typeface="Cambria Math"/>
                </a:rPr>
                <a:t>(</a:t>
              </a:r>
              <a:r>
                <a:rPr lang="en-US" sz="1200" b="0" i="0">
                  <a:latin typeface="Cambria Math" panose="02040503050406030204" pitchFamily="18" charset="0"/>
                </a:rPr>
                <a:t>%</a:t>
              </a:r>
              <a:r>
                <a:rPr lang="en-US" sz="1200" b="0" i="0">
                  <a:latin typeface="Cambria Math"/>
                </a:rPr>
                <a:t>)</a:t>
              </a:r>
              <a:r>
                <a:rPr lang="en-US" sz="1200" b="0" i="0">
                  <a:latin typeface="Cambria Math" panose="02040503050406030204" pitchFamily="18" charset="0"/>
                </a:rPr>
                <a:t>𝐷𝑒𝑠𝑐𝑜𝑛𝑡𝑜=(  </a:t>
              </a:r>
              <a:r>
                <a:rPr lang="en-US" sz="1200" b="0" i="0">
                  <a:latin typeface="Cambria Math"/>
                </a:rPr>
                <a:t>(</a:t>
              </a:r>
              <a:r>
                <a:rPr lang="en-US" sz="1200" b="0" i="0">
                  <a:latin typeface="Cambria Math" panose="02040503050406030204" pitchFamily="18" charset="0"/>
                </a:rPr>
                <a:t>𝑇𝑂𝑇𝐴𝐿 𝑜𝑟ç𝑎𝑚𝑒𝑛𝑡𝑜 𝑝𝑎𝑟𝑎𝑑𝑖𝑔𝑚𝑎 −𝑇𝑂𝑇𝐴𝐿 𝑜𝑟ç𝑎𝑚𝑒𝑛𝑡𝑜 𝑐𝑜𝑛𝑡𝑟𝑎𝑡𝑎𝑑𝑜</a:t>
              </a:r>
              <a:r>
                <a:rPr lang="en-US" sz="1200" b="0" i="0">
                  <a:latin typeface="Cambria Math"/>
                </a:rPr>
                <a:t>)/(</a:t>
              </a:r>
              <a:r>
                <a:rPr lang="en-US" sz="1200" b="0" i="0">
                  <a:latin typeface="Cambria Math" panose="02040503050406030204" pitchFamily="18" charset="0"/>
                </a:rPr>
                <a:t>𝑇𝑂𝑇𝐴𝐿 𝑜𝑟ç𝑎𝑚𝑒𝑛𝑡𝑜 𝑝𝑎𝑟𝑎𝑑𝑖𝑔𝑚𝑎</a:t>
              </a:r>
              <a:r>
                <a:rPr lang="en-US" sz="1200" b="0" i="0">
                  <a:latin typeface="Cambria Math"/>
                </a:rPr>
                <a:t>)</a:t>
              </a:r>
              <a:r>
                <a:rPr lang="pt-BR" sz="1200"/>
                <a:t> </a:t>
              </a:r>
              <a:r>
                <a:rPr lang="pt-BR" sz="1100"/>
                <a:t>).100</a:t>
              </a:r>
            </a:p>
          </xdr:txBody>
        </xdr:sp>
      </mc:Fallback>
    </mc:AlternateContent>
    <xdr:clientData/>
  </xdr:oneCellAnchor>
  <xdr:oneCellAnchor>
    <xdr:from>
      <xdr:col>2</xdr:col>
      <xdr:colOff>304800</xdr:colOff>
      <xdr:row>118</xdr:row>
      <xdr:rowOff>0</xdr:rowOff>
    </xdr:from>
    <xdr:ext cx="184731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819400" y="7041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2</xdr:col>
      <xdr:colOff>4802491</xdr:colOff>
      <xdr:row>0</xdr:row>
      <xdr:rowOff>0</xdr:rowOff>
    </xdr:from>
    <xdr:to>
      <xdr:col>3</xdr:col>
      <xdr:colOff>408215</xdr:colOff>
      <xdr:row>3</xdr:row>
      <xdr:rowOff>149780</xdr:rowOff>
    </xdr:to>
    <xdr:pic>
      <xdr:nvPicPr>
        <xdr:cNvPr id="6" name="Imagem 5" descr="Brasao de..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9812" y="0"/>
          <a:ext cx="694796" cy="721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1095376</xdr:colOff>
      <xdr:row>125</xdr:row>
      <xdr:rowOff>47626</xdr:rowOff>
    </xdr:from>
    <xdr:ext cx="4981574" cy="4000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aixaDeTexto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 txBox="1"/>
          </xdr:nvSpPr>
          <xdr:spPr>
            <a:xfrm>
              <a:off x="1095376" y="75704701"/>
              <a:ext cx="4981574" cy="4000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d>
                    <m:dPr>
                      <m:ctrlPr>
                        <a:rPr lang="en-US" sz="12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US" sz="1200" b="0" i="1">
                          <a:latin typeface="Cambria Math" panose="02040503050406030204" pitchFamily="18" charset="0"/>
                        </a:rPr>
                        <m:t>%</m:t>
                      </m:r>
                    </m:e>
                  </m:d>
                  <m:r>
                    <a:rPr lang="en-US" sz="1200" b="0" i="1">
                      <a:latin typeface="Cambria Math" panose="02040503050406030204" pitchFamily="18" charset="0"/>
                    </a:rPr>
                    <m:t>𝐷𝑒𝑠𝑐𝑜𝑛𝑡𝑜</m:t>
                  </m:r>
                  <m:r>
                    <a:rPr lang="en-US" sz="1200" b="0" i="1">
                      <a:latin typeface="Cambria Math" panose="02040503050406030204" pitchFamily="18" charset="0"/>
                    </a:rPr>
                    <m:t>=( </m:t>
                  </m:r>
                  <m:f>
                    <m:fPr>
                      <m:ctrlPr>
                        <a:rPr lang="en-US" sz="12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𝑇𝑂𝑇𝐴𝐿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𝑜𝑟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ç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𝑎𝑚𝑒𝑛𝑡𝑜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𝑝𝑎𝑟𝑎𝑑𝑖𝑔𝑚𝑎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−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𝑇𝑂𝑇𝐴𝐿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𝑜𝑟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ç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𝑎𝑚𝑒𝑛𝑡𝑜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𝑐𝑜𝑛𝑡𝑟𝑎𝑡𝑎𝑑𝑜</m:t>
                      </m:r>
                    </m:num>
                    <m:den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𝑇𝑂𝑇𝐴𝐿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𝑜𝑟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ç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𝑎𝑚𝑒𝑛𝑡𝑜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 </m:t>
                      </m:r>
                      <m:r>
                        <a:rPr lang="en-US" sz="1200" b="0" i="1">
                          <a:latin typeface="Cambria Math" panose="02040503050406030204" pitchFamily="18" charset="0"/>
                        </a:rPr>
                        <m:t>𝑝𝑎𝑟𝑎𝑑𝑖𝑔𝑚𝑎</m:t>
                      </m:r>
                    </m:den>
                  </m:f>
                </m:oMath>
              </a14:m>
              <a:r>
                <a:rPr lang="pt-BR" sz="1200"/>
                <a:t> </a:t>
              </a:r>
              <a:r>
                <a:rPr lang="pt-BR" sz="1100"/>
                <a:t>).100</a:t>
              </a:r>
            </a:p>
          </xdr:txBody>
        </xdr:sp>
      </mc:Choice>
      <mc:Fallback xmlns="">
        <xdr:sp macro="" textlink="">
          <xdr:nvSpPr>
            <xdr:cNvPr id="7" name="CaixaDeTexto 6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000-000002000000}"/>
                </a:ext>
              </a:extLst>
            </xdr:cNvPr>
            <xdr:cNvSpPr txBox="1"/>
          </xdr:nvSpPr>
          <xdr:spPr>
            <a:xfrm>
              <a:off x="1095376" y="75704701"/>
              <a:ext cx="4981574" cy="4000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200" b="0" i="0">
                  <a:latin typeface="Cambria Math"/>
                </a:rPr>
                <a:t>(</a:t>
              </a:r>
              <a:r>
                <a:rPr lang="en-US" sz="1200" b="0" i="0">
                  <a:latin typeface="Cambria Math" panose="02040503050406030204" pitchFamily="18" charset="0"/>
                </a:rPr>
                <a:t>%</a:t>
              </a:r>
              <a:r>
                <a:rPr lang="en-US" sz="1200" b="0" i="0">
                  <a:latin typeface="Cambria Math"/>
                </a:rPr>
                <a:t>)</a:t>
              </a:r>
              <a:r>
                <a:rPr lang="en-US" sz="1200" b="0" i="0">
                  <a:latin typeface="Cambria Math" panose="02040503050406030204" pitchFamily="18" charset="0"/>
                </a:rPr>
                <a:t>𝐷𝑒𝑠𝑐𝑜𝑛𝑡𝑜=(  </a:t>
              </a:r>
              <a:r>
                <a:rPr lang="en-US" sz="1200" b="0" i="0">
                  <a:latin typeface="Cambria Math"/>
                </a:rPr>
                <a:t>(</a:t>
              </a:r>
              <a:r>
                <a:rPr lang="en-US" sz="1200" b="0" i="0">
                  <a:latin typeface="Cambria Math" panose="02040503050406030204" pitchFamily="18" charset="0"/>
                </a:rPr>
                <a:t>𝑇𝑂𝑇𝐴𝐿 𝑜𝑟ç𝑎𝑚𝑒𝑛𝑡𝑜 𝑝𝑎𝑟𝑎𝑑𝑖𝑔𝑚𝑎 −𝑇𝑂𝑇𝐴𝐿 𝑜𝑟ç𝑎𝑚𝑒𝑛𝑡𝑜 𝑐𝑜𝑛𝑡𝑟𝑎𝑡𝑎𝑑𝑜</a:t>
              </a:r>
              <a:r>
                <a:rPr lang="en-US" sz="1200" b="0" i="0">
                  <a:latin typeface="Cambria Math"/>
                </a:rPr>
                <a:t>)/(</a:t>
              </a:r>
              <a:r>
                <a:rPr lang="en-US" sz="1200" b="0" i="0">
                  <a:latin typeface="Cambria Math" panose="02040503050406030204" pitchFamily="18" charset="0"/>
                </a:rPr>
                <a:t>𝑇𝑂𝑇𝐴𝐿 𝑜𝑟ç𝑎𝑚𝑒𝑛𝑡𝑜 𝑝𝑎𝑟𝑎𝑑𝑖𝑔𝑚𝑎</a:t>
              </a:r>
              <a:r>
                <a:rPr lang="en-US" sz="1200" b="0" i="0">
                  <a:latin typeface="Cambria Math"/>
                </a:rPr>
                <a:t>)</a:t>
              </a:r>
              <a:r>
                <a:rPr lang="pt-BR" sz="1200"/>
                <a:t> </a:t>
              </a:r>
              <a:r>
                <a:rPr lang="pt-BR" sz="1100"/>
                <a:t>).100</a:t>
              </a:r>
            </a:p>
          </xdr:txBody>
        </xdr:sp>
      </mc:Fallback>
    </mc:AlternateContent>
    <xdr:clientData/>
  </xdr:oneCellAnchor>
  <xdr:oneCellAnchor>
    <xdr:from>
      <xdr:col>2</xdr:col>
      <xdr:colOff>304800</xdr:colOff>
      <xdr:row>129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2819400" y="7662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180362</xdr:rowOff>
    </xdr:from>
    <xdr:to>
      <xdr:col>2</xdr:col>
      <xdr:colOff>959051</xdr:colOff>
      <xdr:row>3</xdr:row>
      <xdr:rowOff>219075</xdr:rowOff>
    </xdr:to>
    <xdr:pic>
      <xdr:nvPicPr>
        <xdr:cNvPr id="4" name="Imagem 3" descr="Brasao de..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80362"/>
          <a:ext cx="692351" cy="74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</xdr:row>
          <xdr:rowOff>9525</xdr:rowOff>
        </xdr:from>
        <xdr:to>
          <xdr:col>4</xdr:col>
          <xdr:colOff>152400</xdr:colOff>
          <xdr:row>2</xdr:row>
          <xdr:rowOff>38100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560295</xdr:colOff>
      <xdr:row>13</xdr:row>
      <xdr:rowOff>179295</xdr:rowOff>
    </xdr:from>
    <xdr:to>
      <xdr:col>15</xdr:col>
      <xdr:colOff>0</xdr:colOff>
      <xdr:row>13</xdr:row>
      <xdr:rowOff>236445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20829495" y="4732245"/>
          <a:ext cx="111610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35724</xdr:colOff>
      <xdr:row>0</xdr:row>
      <xdr:rowOff>144225</xdr:rowOff>
    </xdr:from>
    <xdr:to>
      <xdr:col>1</xdr:col>
      <xdr:colOff>4135211</xdr:colOff>
      <xdr:row>3</xdr:row>
      <xdr:rowOff>1097106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699" y="144225"/>
          <a:ext cx="4099487" cy="1667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1922676</xdr:colOff>
      <xdr:row>0</xdr:row>
      <xdr:rowOff>149672</xdr:rowOff>
    </xdr:from>
    <xdr:to>
      <xdr:col>1</xdr:col>
      <xdr:colOff>1924050</xdr:colOff>
      <xdr:row>2</xdr:row>
      <xdr:rowOff>350062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6126" y="149672"/>
          <a:ext cx="1374" cy="648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1771651</xdr:colOff>
      <xdr:row>0</xdr:row>
      <xdr:rowOff>161925</xdr:rowOff>
    </xdr:from>
    <xdr:to>
      <xdr:col>1</xdr:col>
      <xdr:colOff>3924301</xdr:colOff>
      <xdr:row>2</xdr:row>
      <xdr:rowOff>594968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1" y="161925"/>
          <a:ext cx="2152650" cy="880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2647950</xdr:colOff>
      <xdr:row>1</xdr:row>
      <xdr:rowOff>76200</xdr:rowOff>
    </xdr:from>
    <xdr:to>
      <xdr:col>3</xdr:col>
      <xdr:colOff>3281082</xdr:colOff>
      <xdr:row>5</xdr:row>
      <xdr:rowOff>35480</xdr:rowOff>
    </xdr:to>
    <xdr:pic>
      <xdr:nvPicPr>
        <xdr:cNvPr id="3" name="Imagem 2" descr="Brasao de..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266700"/>
          <a:ext cx="633132" cy="721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lemar.semob/Google%20Drive/OBRA%20-%20FEIRA%20COBERTA/3.%20MEDI&#199;&#195;O%2003%20-%20FEIRA/FEIRA%20Planilha%20or&#231;ament&#225;ria%20-%20%203&#170;%20Medi&#231;&#227;o%20-%20%20FOI%20PRA%20PAGAR%20ESSE%20COLE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 Sintético"/>
      <sheetName val="OBSOLETO"/>
      <sheetName val="BOLETIM DE MEDIÇÃO"/>
      <sheetName val="METAS BM 03"/>
      <sheetName val="MEMORIAL CÁLCULO BM03"/>
    </sheetNames>
    <sheetDataSet>
      <sheetData sheetId="0"/>
      <sheetData sheetId="1">
        <row r="4">
          <cell r="A4" t="str">
            <v xml:space="preserve"> 1 </v>
          </cell>
          <cell r="C4" t="str">
            <v>SERVIÇO PRELIMINARES</v>
          </cell>
        </row>
        <row r="5">
          <cell r="C5" t="str">
            <v>PLACA DE OBRA EM CHAPA DE ACO GALVANIZADO</v>
          </cell>
        </row>
        <row r="6">
          <cell r="C6" t="str">
            <v>EXECUÇÃO DE ESCRITÓRIO EM CANTEIRO DE OBRA EM CHAPA DE MADEIRA COMPENSADA, NÃO INCLUSO MOBILIÁRIO E EQUIPAMENTOS. AF_02/2016</v>
          </cell>
        </row>
        <row r="7">
          <cell r="A7" t="str">
            <v xml:space="preserve"> 2 </v>
          </cell>
          <cell r="C7" t="str">
            <v>MOBILIZAÇÃO E DESMOBILIZAÇÃO</v>
          </cell>
        </row>
        <row r="8">
          <cell r="A8" t="str">
            <v xml:space="preserve"> 2.1 </v>
          </cell>
          <cell r="C8" t="str">
            <v>CAMINHÃO TOCO, PBT 14.300 KG, CARGA ÚTIL MÁX. 9.710 KG, DIST. ENTRE EIXOS 3,56 M, POTÊNCIA 185 CV, INCLUSIVE CARROCERIA FIXA ABERTA DE MADEIRA P/ TRANSPORTE GERAL DE CARGA SECA, DIMEN. APROX. 2,50 X 6,50 X 0,50 M - CHP DIURNO. AF_06/2014</v>
          </cell>
          <cell r="D8" t="str">
            <v>CHP</v>
          </cell>
        </row>
        <row r="9">
          <cell r="C9" t="str">
            <v>ADMINISTRAÇÃO</v>
          </cell>
        </row>
        <row r="10">
          <cell r="A10" t="str">
            <v xml:space="preserve"> 3.1 </v>
          </cell>
          <cell r="C10" t="str">
            <v>ADMINISTRAÇÃO DA OBRA</v>
          </cell>
          <cell r="D10" t="str">
            <v>%</v>
          </cell>
        </row>
        <row r="11">
          <cell r="A11" t="str">
            <v xml:space="preserve"> 4 </v>
          </cell>
          <cell r="C11" t="str">
            <v>REMOÇÕES/DEMOLIÇÕES</v>
          </cell>
        </row>
        <row r="12">
          <cell r="C12" t="str">
            <v>REMOÇÃO DE TRAMA DE MADEIRA PARA COBERTURA, DE FORMA MANUAL, SEM REAPROVEITAMENTO. AF_12/2017</v>
          </cell>
        </row>
        <row r="13">
          <cell r="C13" t="str">
            <v>REMOÇÃO DE TELHAS, DE FIBROCIMENTO, METÁLICA E CERÂMICA, DE FORMA MANUAL, SEM REAPROVEITAMENTO. AF_12/2017</v>
          </cell>
        </row>
        <row r="14">
          <cell r="C14" t="str">
            <v>DEMOLIÇÃO DE ALVENARIA PARA QUALQUER TIPO DE BLOCO, DE FORMA MECANIZADA, SEM REAPROVEITAMENTO. AF_12/2017</v>
          </cell>
        </row>
        <row r="15">
          <cell r="C15" t="str">
            <v>DEMOLIÇÃO DE REVESTIMENTO CERÂMICO, DE FORMA MANUAL, SEM REAPROVEITAMENTO. AF_12/2017</v>
          </cell>
        </row>
        <row r="16">
          <cell r="C16" t="str">
            <v>REMOÇÃO DE LOUÇAS, DE FORMA MANUAL, SEM REAPROVEITAMENTO. AF_12/2017</v>
          </cell>
        </row>
        <row r="17">
          <cell r="C17" t="str">
            <v>REMOÇÃO DE PORTAS, DE FORMA MANUAL, SEM REAPROVEITAMENTO. AF_12/2017</v>
          </cell>
        </row>
        <row r="18">
          <cell r="C18" t="str">
            <v>DEMOLIÇÃO DE LAJES, DE FORMA MECANIZADA COM MARTELETE, SEM REAPROVEITAMENTO. AF_12/2017</v>
          </cell>
        </row>
        <row r="19">
          <cell r="A19" t="str">
            <v xml:space="preserve"> 5 </v>
          </cell>
          <cell r="C19" t="str">
            <v>MATERIAIS/BANHEIROS</v>
          </cell>
        </row>
        <row r="20">
          <cell r="C20" t="str">
            <v>CHUVEIRO COMUM EM PLASTICO BRANCO, COM CANO, 3 TEMPERATURAS, 5500 W (110/220)</v>
          </cell>
        </row>
        <row r="21">
          <cell r="C21" t="str">
            <v>BARRA DE APOIO RETA, EM ACO INOX POLIDO, COMPRIMENTO 80CM, DIAMETRO MINIMO 3 CM</v>
          </cell>
        </row>
        <row r="22">
          <cell r="C22" t="str">
            <v>VASO SANITARIO SIFONADO CONVENCIONAL COM LOUÇA BRANCA, INCLUSO CONJUNTO DE LIGAÇÃO PARA BACIA SANITÁRIA AJUSTÁVEL - FORNECIMENTO E INSTALAÇÃO. AF_10/2016</v>
          </cell>
        </row>
        <row r="23">
          <cell r="C23" t="str">
            <v>VALVULA DESCARGA 1.1/2" COM REGISTRO, ACABAMENTO EM METAL CROMADO - FORNECIMENTO E INSTALACAO</v>
          </cell>
        </row>
        <row r="24">
          <cell r="C24" t="str">
            <v>VASO SANITARIO SIFONADO CONVENCIONAL PARA PCD SEM FURO FRONTAL COM  LOUÇA BRANCA SEM ASSENTO -  FORNECIMENTO E INSTALAÇÃO. AF_10/2016</v>
          </cell>
        </row>
        <row r="25">
          <cell r="C25" t="str">
            <v>LAVATÓRIO LOUÇA BRANCA COM COLUNA, *44 X 35,5* CM, PADRÃO POPULAR - FORNECIMENTO E INSTALAÇÃO. AF_12/2013</v>
          </cell>
        </row>
        <row r="26">
          <cell r="C26" t="str">
            <v>LAVATÓRIO LOUÇA BRANCA SUSPENSO, 29,5 X 39CM OU EQUIVALENTE, PADRÃO POPULAR - FORNECIMENTO E INSTALAÇÃO. AF_12/2013</v>
          </cell>
        </row>
        <row r="27">
          <cell r="C27" t="str">
            <v>TORNEIRA CROMADA 1/2" OU 3/4" PARA TANQUE, PADRÃO POPULAR - FORNECIMENTO E INSTALAÇÃO. AF_12/2013</v>
          </cell>
        </row>
        <row r="28">
          <cell r="C28" t="str">
            <v>GRANITO PARA BANCADA, POLIDO, TIPO ANDORINHA/ QUARTZ/ CASTELO/ CORUMBA OU OUTROS EQUIVALENTES DA REGIAO, E=  *2,5* CM</v>
          </cell>
        </row>
        <row r="29">
          <cell r="C29" t="str">
            <v>TANQUE DE LOUÇA BRANCA COM COLUNA, 30L OU EQUIVALENTE, INCLUSO SIFÃO FLEXÍVEL EM PVC, VÁLVULA PLÁSTICA E TORNEIRA DE METAL CROMADO PADRÃO POPULAR - FORNECIMENTO E INSTALAÇÃO. AF_12/2013_P</v>
          </cell>
        </row>
        <row r="30">
          <cell r="C30" t="str">
            <v>PORTA DE FERRO TIPO VENEZIANA, DE ABRIR, SEM BANDEIRA SEM FERRAGENS</v>
          </cell>
        </row>
        <row r="31">
          <cell r="C31" t="str">
            <v>PORTA EM ALUMÍNIO DE ABRIR TIPO VENEZIANA COM GUARNIÇÃO, FIXAÇÃO COM PARAFUSOS - FORNECIMENTO E INSTALAÇÃO. AF_08/2015</v>
          </cell>
        </row>
        <row r="32">
          <cell r="A32" t="str">
            <v xml:space="preserve"> 6 </v>
          </cell>
          <cell r="C32" t="str">
            <v>INSTALAÇÕES HIDROSANITÁRIAS</v>
          </cell>
        </row>
        <row r="33">
          <cell r="C33" t="str">
            <v>(COMPOSIÇÃO REPRESENTATIVA) DO SERVIÇO DE INSTALAÇÃO DE TUBOS DE PVC, SOLDÁVEL, ÁGUA FRIA, DN 40 MM (INSTALADO EM PRUMADA), INCLUSIVE CONEXÕES, CORTES E FIXAÇÕES, PARA PRÉDIOS. AF_10/2015</v>
          </cell>
        </row>
        <row r="34">
          <cell r="C34" t="str">
            <v>(COMPOSIÇÃO REPRESENTATIVA) DO SERVIÇO DE INST. TUBO PVC, SÉRIE N, ESGOTO PREDIAL, 100 MM (INST. RAMAL DESCARGA, RAMAL DE ESG. SANIT., PRUMADA ESG. SANIT., VENTILAÇÃO OU SUB-COLETOR AÉREO), INCL. CONEXÕES E CORTES, FIXAÇÕES, P/ PRÉDIOS. AF_10/2015</v>
          </cell>
        </row>
        <row r="35">
          <cell r="A35" t="str">
            <v xml:space="preserve"> 7 </v>
          </cell>
          <cell r="C35" t="str">
            <v>ALVENARIA</v>
          </cell>
        </row>
        <row r="36">
          <cell r="A36" t="str">
            <v xml:space="preserve"> 7.1 </v>
          </cell>
          <cell r="C36" t="str">
            <v>(COMPOSIÇÃO REPRESENTATIVA) DO SERVIÇO DE ALVENARIA DE VEDAÇÃO DE BLOCOS VAZADOS DE CERÂMICA DE 9X19X19CM (ESPESSURA 9CM), PARA EDIFICAÇÃO HABITACIONAL UNIFAMILIAR (CASA) E EDIFICAÇÃO PÚBLICA PADRÃO. AF_11/2014</v>
          </cell>
        </row>
        <row r="37">
          <cell r="A37" t="str">
            <v xml:space="preserve"> 7.2 </v>
          </cell>
          <cell r="C37" t="str">
            <v>CHAPISCO APLICADO EM ALVENARIA (SEM PRESENÇA DE VÃOS) E ESTRUTURAS DE CONCRETO DE FACHADA, COM COLHER DE PEDREIRO.  ARGAMASSA TRAÇO 1:3 COM PREPARO EM BETONEIRA 400L. AF_06/2014</v>
          </cell>
        </row>
        <row r="38">
          <cell r="A38" t="str">
            <v xml:space="preserve"> 7.3 </v>
          </cell>
          <cell r="C38" t="str">
            <v>(COMPOSIÇÃO REPRESENTATIVA) DO SERVIÇO DE EMBOÇO/MASSA ÚNICA, APLICADO MANUALMENTE, TRAÇO 1:2:8, EM BETONEIRA DE 400L, PAREDES INTERNAS, COM EXECUÇÃO DE TALISCAS, EDIFICAÇÃO HABITACIONAL UNIFAMILIAR (CASAS) E EDIFICAÇÃO PÚBLICA PADRÃO. AF_12/2014</v>
          </cell>
        </row>
        <row r="39">
          <cell r="A39" t="str">
            <v xml:space="preserve"> 8 </v>
          </cell>
          <cell r="C39" t="str">
            <v>REVESTIMENTOS</v>
          </cell>
        </row>
        <row r="40">
          <cell r="A40" t="str">
            <v xml:space="preserve"> 8.1 </v>
          </cell>
          <cell r="C40" t="str">
            <v>REVESTIMENTO CERÂMICO PARA PAREDES INTERNAS COM PLACAS TIPO ESMALTADA EXTRA DE DIMENSÕES 25X35 CM APLICADAS EM AMBIENTES DE ÁREA MAIOR QUE 5 M² NA ALTURA INTEIRA DAS PAREDES. AF_06/2014</v>
          </cell>
        </row>
        <row r="41">
          <cell r="A41" t="str">
            <v xml:space="preserve"> 8.2 </v>
          </cell>
          <cell r="C41" t="str">
            <v>REVESTIMENTO CERÂMICO PARA PISO COM PLACAS TIPO ESMALTADA EXTRA DE DIMENSÕES 35X35 CM APLICADA EM AMBIENTES DE ÁREA MAIOR QUE 10 M2. AF_06/2014</v>
          </cell>
        </row>
        <row r="42">
          <cell r="A42" t="str">
            <v xml:space="preserve"> 9 </v>
          </cell>
          <cell r="C42" t="str">
            <v>PINTURA</v>
          </cell>
        </row>
        <row r="43">
          <cell r="A43" t="str">
            <v xml:space="preserve"> 9.1 </v>
          </cell>
          <cell r="C43" t="str">
            <v>APLICAÇÃO MANUAL DE PINTURA COM TINTA LÁTEX PVA EM PAREDES, DUAS DEMÃOS. AF_06/2014</v>
          </cell>
        </row>
        <row r="44">
          <cell r="A44" t="str">
            <v xml:space="preserve"> 9.2 </v>
          </cell>
          <cell r="C44" t="str">
            <v>PINTURA ESMALTE ACETINADO, DUAS DEMAOS, SOBRE SUPERFICIE METALICA</v>
          </cell>
        </row>
        <row r="45">
          <cell r="A45" t="str">
            <v xml:space="preserve"> 9.3 </v>
          </cell>
          <cell r="C45" t="str">
            <v>PINTURA EPOXI, DUAS DEMAOS</v>
          </cell>
        </row>
        <row r="46">
          <cell r="A46" t="str">
            <v xml:space="preserve"> 10 </v>
          </cell>
          <cell r="C46" t="str">
            <v>FORRAÇÃO</v>
          </cell>
        </row>
        <row r="47">
          <cell r="A47" t="str">
            <v xml:space="preserve"> 10.1 </v>
          </cell>
          <cell r="C47" t="str">
            <v>FORRO EM RÉGUAS DE PVC, FRISADO, PARA AMBIENTES COMERCIAIS, INCLUSIVE ESTRUTURA DE FIXAÇÃO. AF_05/2017_P</v>
          </cell>
        </row>
        <row r="48">
          <cell r="A48" t="str">
            <v xml:space="preserve"> 11 </v>
          </cell>
          <cell r="C48" t="str">
            <v>CALÇADAS/PISOS</v>
          </cell>
        </row>
        <row r="49">
          <cell r="C49" t="str">
            <v>EXECUÇÃO DE PASSEIO (CALÇADA) OU PISO DE CONCRETO COM CONCRETO MOLDADO IN LOCO, USINADO, ACABAMENTO CONVENCIONAL, NÃO ARMADO, INCLUSO JUNTAS DE DILATAÇÃO. AF_07/2016</v>
          </cell>
        </row>
        <row r="50">
          <cell r="C50" t="str">
            <v>FORNECIMENTO E INSTALAÇÃO DE PISO TÁTIL, DIRECIONAL (AMARELO)  OU ALERTA (VERDE) 20X20 CM E = 2 CM</v>
          </cell>
        </row>
        <row r="51">
          <cell r="C51" t="str">
            <v>PISO CIMENTADO, TRAÇO 1:3 (CIMENTO E AREIA), ACABAMENTO LISO, ESPESSURA 2,0 CM, PREPARO MECÂNICO DA ARGAMASSA. AF_06/2018</v>
          </cell>
        </row>
        <row r="52">
          <cell r="A52" t="str">
            <v xml:space="preserve"> 12 </v>
          </cell>
          <cell r="C52" t="str">
            <v>COBERTURA</v>
          </cell>
        </row>
        <row r="53">
          <cell r="A53" t="str">
            <v xml:space="preserve"> 12.1 </v>
          </cell>
          <cell r="C53" t="str">
            <v>INSTALAÇÃO DE TESOURA (INTEIRA OU MEIA), EM AÇO, PARA VÃOS MAIORES OU IGUAIS A 10,0 M E MENORES QUE 12,0 M, INCLUSO IÇAMENTO. AF_12/2015</v>
          </cell>
        </row>
        <row r="54">
          <cell r="A54" t="str">
            <v xml:space="preserve"> 12.2 </v>
          </cell>
          <cell r="C54" t="str">
            <v>TRAMA DE AÇO COMPOSTA POR TERÇAS PARA TELHADOS DE ATÉ 2 ÁGUAS PARA TELHA ONDULADA DE FIBROCIMENTO, METÁLICA, PLÁSTICA OU TERMOACÚSTICA, INCLUSO TRANSPORTE VERTICAL. AF_12/2015</v>
          </cell>
        </row>
        <row r="55">
          <cell r="A55" t="str">
            <v xml:space="preserve"> 12.3 </v>
          </cell>
          <cell r="C55" t="str">
            <v>TELHAMENTO COM TELHA DE AÇO/ALUMÍNIO E = 0,5 MM, COM ATÉ 2 ÁGUAS, INCLUSO IÇAMENTO. AF_06/2016</v>
          </cell>
        </row>
        <row r="56">
          <cell r="A56" t="str">
            <v xml:space="preserve"> 12.4 </v>
          </cell>
          <cell r="C56" t="str">
            <v>ESTRUTURA METALICA EM ACO ESTRUTURAL PERFIL I 6 X 3 3/8</v>
          </cell>
        </row>
        <row r="57">
          <cell r="A57" t="str">
            <v xml:space="preserve"> 13 </v>
          </cell>
          <cell r="C57" t="str">
            <v>SISTEMA PLUVIAL</v>
          </cell>
        </row>
        <row r="58">
          <cell r="C58" t="str">
            <v>GRELHA DE FERRO FUNDIDO PARA CANALETA LARG = 55CM, FORNECIMENTO E ASSENTAMENTO</v>
          </cell>
        </row>
        <row r="59">
          <cell r="C59" t="str">
            <v>CALHA EM CHAPA DE AÇO GALVANIZADO NÚMERO 24, DESENVOLVIMENTO DE 33 CM, INCLUSO TRANSPORTE VERTICAL. AF_06/2016</v>
          </cell>
        </row>
        <row r="60">
          <cell r="A60" t="str">
            <v xml:space="preserve"> 14 </v>
          </cell>
          <cell r="C60" t="str">
            <v>PORTÕES</v>
          </cell>
        </row>
        <row r="61">
          <cell r="A61" t="str">
            <v xml:space="preserve"> 14.1 </v>
          </cell>
          <cell r="C61" t="str">
            <v>FORNECIMENTO E INSTALAÇÃO DE PORTÃO DE CORRER EM GRADIL FIXO DE BARRA UE FERRO CHATA DE 3X1/4" NA VERTICAL, ACABAMENTO NATURAL COM TRILHOS E ROLDANAS - INCLUSO PINTURA ANTICORROSIVA E ESMALTE SINTÉTICO DE ACABAMENTO</v>
          </cell>
        </row>
        <row r="62">
          <cell r="A62" t="str">
            <v xml:space="preserve"> 15 </v>
          </cell>
          <cell r="C62" t="str">
            <v>JARDIM</v>
          </cell>
        </row>
        <row r="63">
          <cell r="A63" t="str">
            <v xml:space="preserve"> 15.1 </v>
          </cell>
          <cell r="C63" t="str">
            <v>PLANTIO DE GRAMA ESMERALDA EM ROLO</v>
          </cell>
        </row>
      </sheetData>
      <sheetData sheetId="2">
        <row r="7">
          <cell r="G7" t="str">
            <v>Contrato N.º : 172/2018</v>
          </cell>
          <cell r="I7" t="str">
            <v>Licitação: 039/2019</v>
          </cell>
          <cell r="K7" t="str">
            <v>Tomada de Preços: 006/2019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9"/>
  <sheetViews>
    <sheetView view="pageBreakPreview" topLeftCell="B1" zoomScale="55" zoomScaleNormal="85" zoomScaleSheetLayoutView="55" workbookViewId="0">
      <selection activeCell="C62" sqref="C62"/>
    </sheetView>
  </sheetViews>
  <sheetFormatPr defaultRowHeight="15"/>
  <cols>
    <col min="1" max="1" width="20.85546875" customWidth="1"/>
    <col min="2" max="2" width="13.85546875" customWidth="1"/>
    <col min="3" max="3" width="76.28515625" customWidth="1"/>
    <col min="4" max="4" width="12.140625" customWidth="1"/>
    <col min="5" max="5" width="13.42578125" customWidth="1"/>
    <col min="6" max="6" width="2.28515625" style="13" hidden="1" customWidth="1"/>
    <col min="7" max="7" width="39.140625" customWidth="1"/>
    <col min="8" max="8" width="46.28515625" customWidth="1"/>
    <col min="9" max="9" width="16.5703125" style="13" customWidth="1"/>
    <col min="10" max="10" width="24.140625" style="13" customWidth="1"/>
    <col min="11" max="11" width="19.28515625" customWidth="1"/>
    <col min="12" max="12" width="22" customWidth="1"/>
    <col min="13" max="13" width="13.7109375" customWidth="1"/>
    <col min="14" max="14" width="26.5703125" customWidth="1"/>
    <col min="15" max="15" width="29.28515625" customWidth="1"/>
    <col min="16" max="16" width="31.5703125" customWidth="1"/>
    <col min="17" max="17" width="30.7109375" style="13" customWidth="1"/>
  </cols>
  <sheetData>
    <row r="1" spans="1:16" s="51" customFormat="1">
      <c r="A1" s="52"/>
      <c r="B1" s="52"/>
      <c r="C1" s="53"/>
      <c r="D1" s="54"/>
      <c r="E1" s="55"/>
      <c r="F1" s="55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s="51" customFormat="1">
      <c r="A2" s="52"/>
      <c r="B2" s="52"/>
      <c r="C2" s="53"/>
      <c r="D2" s="54"/>
      <c r="E2" s="55"/>
      <c r="F2" s="55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51" customFormat="1">
      <c r="A3" s="52"/>
      <c r="B3" s="52"/>
      <c r="C3" s="53"/>
      <c r="D3" s="54"/>
      <c r="E3" s="55"/>
      <c r="F3" s="55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s="51" customFormat="1">
      <c r="A4" s="526"/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</row>
    <row r="5" spans="1:16" s="51" customFormat="1" ht="15.75">
      <c r="A5" s="527" t="s">
        <v>27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</row>
    <row r="6" spans="1:16" s="51" customFormat="1" ht="15.75">
      <c r="A6" s="527" t="s">
        <v>28</v>
      </c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</row>
    <row r="7" spans="1:16" s="51" customFormat="1" ht="15.75">
      <c r="A7" s="527" t="s">
        <v>29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</row>
    <row r="8" spans="1:16" s="51" customFormat="1" ht="5.25" customHeight="1">
      <c r="A8" s="57"/>
      <c r="B8" s="57"/>
      <c r="C8" s="57"/>
      <c r="D8" s="57"/>
      <c r="E8" s="57"/>
      <c r="F8" s="61"/>
      <c r="G8" s="57"/>
      <c r="H8" s="57"/>
      <c r="I8" s="232"/>
      <c r="J8" s="232"/>
      <c r="K8" s="57"/>
      <c r="L8" s="57"/>
      <c r="M8" s="57"/>
      <c r="N8" s="57"/>
      <c r="O8" s="57"/>
      <c r="P8" s="57"/>
    </row>
    <row r="9" spans="1:16">
      <c r="A9" s="528" t="s">
        <v>110</v>
      </c>
      <c r="B9" s="528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</row>
    <row r="10" spans="1:16">
      <c r="A10" s="529"/>
      <c r="B10" s="529"/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</row>
    <row r="11" spans="1:16" s="26" customFormat="1" ht="55.5" customHeight="1">
      <c r="A11" s="22" t="s">
        <v>30</v>
      </c>
      <c r="B11" s="23"/>
      <c r="C11" s="24" t="s">
        <v>161</v>
      </c>
      <c r="D11" s="547" t="s">
        <v>299</v>
      </c>
      <c r="E11" s="547"/>
      <c r="F11" s="181"/>
      <c r="G11" s="235" t="s">
        <v>306</v>
      </c>
      <c r="H11" s="82"/>
      <c r="I11" s="82"/>
      <c r="J11" s="82"/>
      <c r="K11" s="501" t="s">
        <v>334</v>
      </c>
      <c r="L11" s="501"/>
      <c r="M11" s="25"/>
      <c r="N11" s="532"/>
      <c r="O11" s="532"/>
      <c r="P11" s="45"/>
    </row>
    <row r="12" spans="1:16" s="26" customFormat="1" ht="38.25" customHeight="1">
      <c r="A12" s="27" t="s">
        <v>31</v>
      </c>
      <c r="B12" s="28"/>
      <c r="C12" s="531" t="s">
        <v>162</v>
      </c>
      <c r="D12" s="531"/>
      <c r="E12" s="531"/>
      <c r="F12" s="531"/>
      <c r="G12" s="531"/>
      <c r="H12" s="29"/>
      <c r="I12" s="29"/>
      <c r="J12" s="29"/>
      <c r="K12" s="50" t="s">
        <v>32</v>
      </c>
      <c r="L12" s="30" t="s">
        <v>33</v>
      </c>
      <c r="M12" s="31"/>
      <c r="N12" s="31"/>
      <c r="O12" s="31"/>
      <c r="P12" s="32"/>
    </row>
    <row r="13" spans="1:16" s="26" customFormat="1" ht="50.25" customHeight="1">
      <c r="A13" s="27" t="s">
        <v>34</v>
      </c>
      <c r="B13" s="28"/>
      <c r="C13" s="33" t="s">
        <v>163</v>
      </c>
      <c r="D13" s="33" t="s">
        <v>376</v>
      </c>
      <c r="E13" s="33"/>
      <c r="F13" s="33"/>
      <c r="G13" s="186"/>
      <c r="H13" s="29"/>
      <c r="I13" s="263"/>
      <c r="J13" s="29"/>
      <c r="K13" s="65" t="s">
        <v>35</v>
      </c>
      <c r="L13" s="30" t="s">
        <v>36</v>
      </c>
      <c r="M13" s="31"/>
      <c r="N13" s="31"/>
      <c r="O13" s="31"/>
      <c r="P13" s="32"/>
    </row>
    <row r="14" spans="1:16" s="26" customFormat="1" ht="63.75" customHeight="1">
      <c r="A14" s="34" t="s">
        <v>37</v>
      </c>
      <c r="B14" s="35"/>
      <c r="C14" s="33" t="s">
        <v>166</v>
      </c>
      <c r="D14" s="184" t="s">
        <v>165</v>
      </c>
      <c r="E14" s="33"/>
      <c r="F14" s="33"/>
      <c r="G14" s="185" t="s">
        <v>167</v>
      </c>
      <c r="H14" s="36"/>
      <c r="I14" s="263"/>
      <c r="J14" s="36"/>
      <c r="K14" s="49" t="s">
        <v>32</v>
      </c>
      <c r="L14" s="30" t="s">
        <v>38</v>
      </c>
      <c r="M14" s="37"/>
      <c r="N14" s="37"/>
      <c r="O14" s="37"/>
      <c r="P14" s="38"/>
    </row>
    <row r="15" spans="1:16" s="26" customFormat="1" ht="34.5" customHeight="1">
      <c r="A15" s="27" t="s">
        <v>39</v>
      </c>
      <c r="B15" s="28"/>
      <c r="C15" s="33" t="s">
        <v>164</v>
      </c>
      <c r="D15" s="33"/>
      <c r="E15" s="33"/>
      <c r="F15" s="33"/>
      <c r="G15" s="553"/>
      <c r="H15" s="553"/>
      <c r="I15" s="553"/>
      <c r="J15" s="554"/>
      <c r="K15" s="48" t="s">
        <v>35</v>
      </c>
      <c r="L15" s="30" t="s">
        <v>40</v>
      </c>
      <c r="M15" s="31"/>
      <c r="N15" s="31"/>
      <c r="O15" s="31"/>
      <c r="P15" s="32"/>
    </row>
    <row r="16" spans="1:16" s="26" customFormat="1" ht="4.5" customHeight="1">
      <c r="A16" s="39"/>
      <c r="B16" s="40"/>
      <c r="C16" s="41"/>
      <c r="D16" s="41"/>
      <c r="E16" s="41"/>
      <c r="F16" s="41"/>
      <c r="G16" s="42"/>
      <c r="H16" s="42"/>
      <c r="I16" s="42"/>
      <c r="J16" s="42"/>
      <c r="K16" s="85"/>
      <c r="L16" s="30"/>
      <c r="M16" s="31"/>
      <c r="N16" s="31"/>
      <c r="O16" s="31"/>
      <c r="P16" s="32"/>
    </row>
    <row r="17" spans="1:17" s="62" customFormat="1" ht="15.75">
      <c r="A17" s="530" t="s">
        <v>44</v>
      </c>
      <c r="B17" s="530" t="s">
        <v>51</v>
      </c>
      <c r="C17" s="546" t="s">
        <v>0</v>
      </c>
      <c r="D17" s="533" t="s">
        <v>92</v>
      </c>
      <c r="E17" s="534"/>
      <c r="F17" s="534"/>
      <c r="G17" s="534"/>
      <c r="H17" s="535"/>
      <c r="I17" s="533" t="s">
        <v>315</v>
      </c>
      <c r="J17" s="535"/>
      <c r="K17" s="533" t="s">
        <v>41</v>
      </c>
      <c r="L17" s="535"/>
      <c r="M17" s="536" t="s">
        <v>42</v>
      </c>
      <c r="N17" s="536"/>
      <c r="O17" s="536" t="s">
        <v>43</v>
      </c>
      <c r="P17" s="536"/>
    </row>
    <row r="18" spans="1:17" s="62" customFormat="1" ht="90.75" customHeight="1">
      <c r="A18" s="530"/>
      <c r="B18" s="530"/>
      <c r="C18" s="546"/>
      <c r="D18" s="63" t="s">
        <v>26</v>
      </c>
      <c r="E18" s="295" t="s">
        <v>351</v>
      </c>
      <c r="F18" s="64" t="s">
        <v>106</v>
      </c>
      <c r="G18" s="64" t="s">
        <v>107</v>
      </c>
      <c r="H18" s="64" t="s">
        <v>46</v>
      </c>
      <c r="I18" s="63" t="s">
        <v>26</v>
      </c>
      <c r="J18" s="233" t="s">
        <v>47</v>
      </c>
      <c r="K18" s="63" t="s">
        <v>26</v>
      </c>
      <c r="L18" s="233" t="s">
        <v>47</v>
      </c>
      <c r="M18" s="63" t="s">
        <v>26</v>
      </c>
      <c r="N18" s="233" t="s">
        <v>47</v>
      </c>
      <c r="O18" s="63" t="s">
        <v>26</v>
      </c>
      <c r="P18" s="233" t="s">
        <v>47</v>
      </c>
    </row>
    <row r="19" spans="1:17" s="66" customFormat="1" ht="15.75">
      <c r="A19" s="215" t="s">
        <v>1</v>
      </c>
      <c r="B19" s="215"/>
      <c r="C19" s="219" t="s">
        <v>170</v>
      </c>
      <c r="D19" s="215"/>
      <c r="E19" s="215"/>
      <c r="F19" s="218"/>
      <c r="G19" s="218"/>
      <c r="H19" s="280">
        <f>SUM(H20:H21)</f>
        <v>7329.9843360000004</v>
      </c>
      <c r="I19" s="227"/>
      <c r="J19" s="281">
        <v>7329.9843360000004</v>
      </c>
      <c r="K19" s="218"/>
      <c r="L19" s="226">
        <f>SUM(L20:L21)</f>
        <v>0</v>
      </c>
      <c r="M19" s="218"/>
      <c r="N19" s="226">
        <f>SUM(N20:N21)</f>
        <v>0</v>
      </c>
      <c r="O19" s="218"/>
      <c r="P19" s="229">
        <f>SUM(P20:P21)</f>
        <v>7329.9843360000004</v>
      </c>
      <c r="Q19" s="334"/>
    </row>
    <row r="20" spans="1:17" s="67" customFormat="1" ht="27.75" customHeight="1">
      <c r="A20" s="244" t="s">
        <v>3</v>
      </c>
      <c r="B20" s="249" t="s">
        <v>255</v>
      </c>
      <c r="C20" s="255" t="s">
        <v>168</v>
      </c>
      <c r="D20" s="261">
        <v>6</v>
      </c>
      <c r="E20" s="262" t="s">
        <v>300</v>
      </c>
      <c r="F20" s="245"/>
      <c r="G20" s="253">
        <v>466.52199999999999</v>
      </c>
      <c r="H20" s="250">
        <v>2799.1369439999999</v>
      </c>
      <c r="I20" s="264">
        <v>5.9999894024477598</v>
      </c>
      <c r="J20" s="264">
        <v>2799.1369439999999</v>
      </c>
      <c r="K20" s="245"/>
      <c r="L20" s="251"/>
      <c r="M20" s="245"/>
      <c r="N20" s="251"/>
      <c r="O20" s="252">
        <f>M20+D20</f>
        <v>6</v>
      </c>
      <c r="P20" s="320">
        <v>2799.1369439999999</v>
      </c>
      <c r="Q20" s="334" t="str">
        <f t="shared" ref="Q20:Q83" si="0">IF(H20=P20,"-","ADITIVO")</f>
        <v>-</v>
      </c>
    </row>
    <row r="21" spans="1:17" s="67" customFormat="1" ht="71.25" customHeight="1">
      <c r="A21" s="244" t="s">
        <v>4</v>
      </c>
      <c r="B21" s="249">
        <v>93207</v>
      </c>
      <c r="C21" s="255" t="s">
        <v>80</v>
      </c>
      <c r="D21" s="261">
        <v>6</v>
      </c>
      <c r="E21" s="262" t="s">
        <v>300</v>
      </c>
      <c r="F21" s="245"/>
      <c r="G21" s="253">
        <v>755.13879999999995</v>
      </c>
      <c r="H21" s="250">
        <v>4530.8473920000006</v>
      </c>
      <c r="I21" s="264">
        <v>5.99998067646239</v>
      </c>
      <c r="J21" s="264">
        <v>4530.8473920000006</v>
      </c>
      <c r="K21" s="245"/>
      <c r="L21" s="251"/>
      <c r="M21" s="245"/>
      <c r="N21" s="251"/>
      <c r="O21" s="252">
        <f>M21+D21</f>
        <v>6</v>
      </c>
      <c r="P21" s="320">
        <v>4530.8473920000006</v>
      </c>
      <c r="Q21" s="334" t="str">
        <f t="shared" si="0"/>
        <v>-</v>
      </c>
    </row>
    <row r="22" spans="1:17" s="68" customFormat="1" ht="15.75">
      <c r="A22" s="215" t="s">
        <v>5</v>
      </c>
      <c r="B22" s="215"/>
      <c r="C22" s="224" t="s">
        <v>2</v>
      </c>
      <c r="D22" s="224"/>
      <c r="E22" s="215"/>
      <c r="F22" s="216"/>
      <c r="G22" s="317"/>
      <c r="H22" s="280">
        <f>SUM(H23)</f>
        <v>529.56116800000007</v>
      </c>
      <c r="I22" s="226"/>
      <c r="J22" s="281">
        <v>529.56116800000007</v>
      </c>
      <c r="K22" s="220"/>
      <c r="L22" s="226">
        <f>SUM(L23)</f>
        <v>0</v>
      </c>
      <c r="M22" s="221"/>
      <c r="N22" s="226">
        <f>SUM(N23)</f>
        <v>0</v>
      </c>
      <c r="O22" s="220"/>
      <c r="P22" s="229">
        <f>SUM(P23)</f>
        <v>529.56116800000007</v>
      </c>
      <c r="Q22" s="334"/>
    </row>
    <row r="23" spans="1:17" s="67" customFormat="1" ht="98.25" customHeight="1">
      <c r="A23" s="244" t="s">
        <v>6</v>
      </c>
      <c r="B23" s="249">
        <v>73467</v>
      </c>
      <c r="C23" s="255" t="s">
        <v>169</v>
      </c>
      <c r="D23" s="261">
        <v>4</v>
      </c>
      <c r="E23" s="262" t="s">
        <v>70</v>
      </c>
      <c r="F23" s="245"/>
      <c r="G23" s="253">
        <v>132.39029199999999</v>
      </c>
      <c r="H23" s="250">
        <v>529.56116800000007</v>
      </c>
      <c r="I23" s="264">
        <v>4</v>
      </c>
      <c r="J23" s="264">
        <v>529.56116800000007</v>
      </c>
      <c r="K23" s="245"/>
      <c r="L23" s="251"/>
      <c r="M23" s="245"/>
      <c r="N23" s="251"/>
      <c r="O23" s="252">
        <f>M23+D23</f>
        <v>4</v>
      </c>
      <c r="P23" s="320">
        <v>529.56116800000007</v>
      </c>
      <c r="Q23" s="334" t="str">
        <f t="shared" si="0"/>
        <v>-</v>
      </c>
    </row>
    <row r="24" spans="1:17" s="68" customFormat="1" ht="15.75">
      <c r="A24" s="215" t="s">
        <v>7</v>
      </c>
      <c r="B24" s="215"/>
      <c r="C24" s="224" t="s">
        <v>8</v>
      </c>
      <c r="D24" s="224"/>
      <c r="E24" s="215"/>
      <c r="F24" s="217"/>
      <c r="G24" s="317"/>
      <c r="H24" s="280">
        <f>SUM(H25)</f>
        <v>22091.959844000001</v>
      </c>
      <c r="I24" s="227"/>
      <c r="J24" s="280">
        <v>22091.959844000001</v>
      </c>
      <c r="K24" s="222"/>
      <c r="L24" s="226">
        <f>SUM(L25)</f>
        <v>0</v>
      </c>
      <c r="M24" s="242"/>
      <c r="N24" s="227">
        <f>SUM(N25)</f>
        <v>0</v>
      </c>
      <c r="O24" s="223"/>
      <c r="P24" s="321">
        <f>SUM(P25)</f>
        <v>22091.959844000001</v>
      </c>
      <c r="Q24" s="334"/>
    </row>
    <row r="25" spans="1:17" s="67" customFormat="1" ht="30" customHeight="1">
      <c r="A25" s="244" t="s">
        <v>9</v>
      </c>
      <c r="B25" s="249" t="s">
        <v>256</v>
      </c>
      <c r="C25" s="255" t="s">
        <v>81</v>
      </c>
      <c r="D25" s="261">
        <v>100</v>
      </c>
      <c r="E25" s="262" t="s">
        <v>10</v>
      </c>
      <c r="F25" s="245"/>
      <c r="G25" s="253">
        <v>22091.95</v>
      </c>
      <c r="H25" s="250">
        <v>22091.959844000001</v>
      </c>
      <c r="I25" s="265">
        <f>0.249999988</f>
        <v>0.24999998800000001</v>
      </c>
      <c r="J25" s="264">
        <v>22091.959844000001</v>
      </c>
      <c r="K25" s="245"/>
      <c r="L25" s="251"/>
      <c r="M25" s="245"/>
      <c r="N25" s="251"/>
      <c r="O25" s="339">
        <f>0.999999988</f>
        <v>0.99999998800000001</v>
      </c>
      <c r="P25" s="320">
        <v>22091.959844000001</v>
      </c>
      <c r="Q25" s="334" t="str">
        <f t="shared" si="0"/>
        <v>-</v>
      </c>
    </row>
    <row r="26" spans="1:17" s="68" customFormat="1" ht="15.75">
      <c r="A26" s="215" t="s">
        <v>11</v>
      </c>
      <c r="B26" s="215"/>
      <c r="C26" s="219" t="s">
        <v>171</v>
      </c>
      <c r="D26" s="224"/>
      <c r="E26" s="215"/>
      <c r="F26" s="215"/>
      <c r="G26" s="317"/>
      <c r="H26" s="280">
        <f>SUM(H27:H34)</f>
        <v>8180.1600847199998</v>
      </c>
      <c r="I26" s="227"/>
      <c r="J26" s="280">
        <v>8180.1600847199998</v>
      </c>
      <c r="K26" s="215"/>
      <c r="L26" s="226">
        <f>SUM(L27:L34)</f>
        <v>0</v>
      </c>
      <c r="M26" s="215"/>
      <c r="N26" s="227">
        <f>SUM(N27:N34)</f>
        <v>8822.4234012075813</v>
      </c>
      <c r="O26" s="215"/>
      <c r="P26" s="321">
        <f>SUM(P27:P34)</f>
        <v>17002.583485927578</v>
      </c>
      <c r="Q26" s="334"/>
    </row>
    <row r="27" spans="1:17" s="67" customFormat="1" ht="51.75" customHeight="1">
      <c r="A27" s="243" t="s">
        <v>12</v>
      </c>
      <c r="B27" s="249">
        <v>97650</v>
      </c>
      <c r="C27" s="255" t="s">
        <v>172</v>
      </c>
      <c r="D27" s="261">
        <v>553.29</v>
      </c>
      <c r="E27" s="262" t="s">
        <v>300</v>
      </c>
      <c r="F27" s="257"/>
      <c r="G27" s="253">
        <v>5.0924040000000002</v>
      </c>
      <c r="H27" s="250">
        <f>D27*G27</f>
        <v>2817.57620916</v>
      </c>
      <c r="I27" s="264">
        <v>553.29</v>
      </c>
      <c r="J27" s="264">
        <v>2817.57620916</v>
      </c>
      <c r="K27" s="245"/>
      <c r="L27" s="251"/>
      <c r="M27" s="245"/>
      <c r="N27" s="251"/>
      <c r="O27" s="252">
        <f t="shared" ref="O27:O34" si="1">M27+D27</f>
        <v>553.29</v>
      </c>
      <c r="P27" s="320">
        <v>2817.57620916</v>
      </c>
      <c r="Q27" s="334" t="str">
        <f t="shared" si="0"/>
        <v>-</v>
      </c>
    </row>
    <row r="28" spans="1:17" s="67" customFormat="1" ht="61.5" customHeight="1">
      <c r="A28" s="243" t="s">
        <v>377</v>
      </c>
      <c r="B28" s="249">
        <v>97647</v>
      </c>
      <c r="C28" s="255" t="s">
        <v>173</v>
      </c>
      <c r="D28" s="261">
        <v>553.29</v>
      </c>
      <c r="E28" s="262" t="s">
        <v>300</v>
      </c>
      <c r="F28" s="245"/>
      <c r="G28" s="253">
        <v>2.3691279999999999</v>
      </c>
      <c r="H28" s="250">
        <f t="shared" ref="H28:H59" si="2">D28*G28</f>
        <v>1310.8148311199998</v>
      </c>
      <c r="I28" s="264">
        <v>553.29</v>
      </c>
      <c r="J28" s="264">
        <v>1310.8148311199998</v>
      </c>
      <c r="K28" s="245"/>
      <c r="L28" s="251"/>
      <c r="M28" s="245"/>
      <c r="N28" s="251"/>
      <c r="O28" s="252">
        <f t="shared" si="1"/>
        <v>553.29</v>
      </c>
      <c r="P28" s="320">
        <v>1310.8148311199998</v>
      </c>
      <c r="Q28" s="334" t="str">
        <f t="shared" si="0"/>
        <v>-</v>
      </c>
    </row>
    <row r="29" spans="1:17" s="67" customFormat="1" ht="54.75" customHeight="1">
      <c r="A29" s="243" t="s">
        <v>378</v>
      </c>
      <c r="B29" s="249">
        <v>97625</v>
      </c>
      <c r="C29" s="286" t="s">
        <v>174</v>
      </c>
      <c r="D29" s="261">
        <v>4.3</v>
      </c>
      <c r="E29" s="262" t="s">
        <v>73</v>
      </c>
      <c r="F29" s="245"/>
      <c r="G29" s="253">
        <v>36.990147999999998</v>
      </c>
      <c r="H29" s="250">
        <f t="shared" si="2"/>
        <v>159.05763639999998</v>
      </c>
      <c r="I29" s="264">
        <v>4.3</v>
      </c>
      <c r="J29" s="264">
        <v>159.05763639999998</v>
      </c>
      <c r="K29" s="245"/>
      <c r="L29" s="251"/>
      <c r="M29" s="256">
        <v>15.169</v>
      </c>
      <c r="N29" s="258">
        <f>M29*G29</f>
        <v>561.10355501200002</v>
      </c>
      <c r="O29" s="252">
        <f>M29+D29</f>
        <v>19.469000000000001</v>
      </c>
      <c r="P29" s="320">
        <f t="shared" ref="P29:P34" si="3">G29*O29</f>
        <v>720.16119141199999</v>
      </c>
      <c r="Q29" s="334" t="str">
        <f t="shared" si="0"/>
        <v>ADITIVO</v>
      </c>
    </row>
    <row r="30" spans="1:17" s="67" customFormat="1" ht="54.75" customHeight="1">
      <c r="A30" s="243" t="s">
        <v>379</v>
      </c>
      <c r="B30" s="249">
        <v>97633</v>
      </c>
      <c r="C30" s="286" t="s">
        <v>175</v>
      </c>
      <c r="D30" s="261">
        <v>129.5</v>
      </c>
      <c r="E30" s="262" t="s">
        <v>300</v>
      </c>
      <c r="F30" s="245"/>
      <c r="G30" s="253">
        <v>15.838964000000002</v>
      </c>
      <c r="H30" s="250">
        <f t="shared" si="2"/>
        <v>2051.1458380000004</v>
      </c>
      <c r="I30" s="264">
        <v>129.5</v>
      </c>
      <c r="J30" s="264">
        <v>2051.1458380000004</v>
      </c>
      <c r="K30" s="245"/>
      <c r="L30" s="251"/>
      <c r="M30" s="256">
        <f>SUM(M65,M66)</f>
        <v>432.31999999999994</v>
      </c>
      <c r="N30" s="258">
        <f>M30*G30</f>
        <v>6847.5009164800003</v>
      </c>
      <c r="O30" s="252">
        <f t="shared" si="1"/>
        <v>561.81999999999994</v>
      </c>
      <c r="P30" s="320">
        <f>G30*O30</f>
        <v>8898.6467544799998</v>
      </c>
      <c r="Q30" s="334" t="str">
        <f t="shared" si="0"/>
        <v>ADITIVO</v>
      </c>
    </row>
    <row r="31" spans="1:17" s="67" customFormat="1" ht="44.25" customHeight="1">
      <c r="A31" s="243" t="s">
        <v>380</v>
      </c>
      <c r="B31" s="249">
        <v>97663</v>
      </c>
      <c r="C31" s="255" t="s">
        <v>176</v>
      </c>
      <c r="D31" s="261">
        <v>8</v>
      </c>
      <c r="E31" s="262" t="s">
        <v>314</v>
      </c>
      <c r="F31" s="245"/>
      <c r="G31" s="253">
        <v>8.4384920000000001</v>
      </c>
      <c r="H31" s="250">
        <f t="shared" si="2"/>
        <v>67.507936000000001</v>
      </c>
      <c r="I31" s="264">
        <v>8</v>
      </c>
      <c r="J31" s="264">
        <v>67.507936000000001</v>
      </c>
      <c r="K31" s="245"/>
      <c r="L31" s="251"/>
      <c r="M31" s="245"/>
      <c r="N31" s="251"/>
      <c r="O31" s="252">
        <f t="shared" si="1"/>
        <v>8</v>
      </c>
      <c r="P31" s="320">
        <v>67.507936000000001</v>
      </c>
      <c r="Q31" s="334" t="str">
        <f t="shared" si="0"/>
        <v>-</v>
      </c>
    </row>
    <row r="32" spans="1:17" s="67" customFormat="1" ht="43.5" customHeight="1">
      <c r="A32" s="243" t="s">
        <v>381</v>
      </c>
      <c r="B32" s="249">
        <v>97644</v>
      </c>
      <c r="C32" s="255" t="s">
        <v>177</v>
      </c>
      <c r="D32" s="261">
        <v>10.92</v>
      </c>
      <c r="E32" s="262" t="s">
        <v>300</v>
      </c>
      <c r="F32" s="245"/>
      <c r="G32" s="253">
        <v>6.3258159999999997</v>
      </c>
      <c r="H32" s="250">
        <f t="shared" si="2"/>
        <v>69.077910719999991</v>
      </c>
      <c r="I32" s="264">
        <v>10.92</v>
      </c>
      <c r="J32" s="264">
        <v>69.077910719999991</v>
      </c>
      <c r="K32" s="245"/>
      <c r="L32" s="251"/>
      <c r="M32" s="245"/>
      <c r="N32" s="251"/>
      <c r="O32" s="252">
        <f t="shared" si="1"/>
        <v>10.92</v>
      </c>
      <c r="P32" s="320">
        <v>69.077910719999991</v>
      </c>
      <c r="Q32" s="334" t="str">
        <f t="shared" si="0"/>
        <v>-</v>
      </c>
    </row>
    <row r="33" spans="1:18" s="67" customFormat="1" ht="46.5" customHeight="1">
      <c r="A33" s="243" t="s">
        <v>382</v>
      </c>
      <c r="B33" s="249">
        <v>97629</v>
      </c>
      <c r="C33" s="255" t="s">
        <v>178</v>
      </c>
      <c r="D33" s="261">
        <v>19.170000000000002</v>
      </c>
      <c r="E33" s="262" t="s">
        <v>73</v>
      </c>
      <c r="F33" s="245"/>
      <c r="G33" s="253">
        <v>88.939996000000008</v>
      </c>
      <c r="H33" s="250">
        <f t="shared" si="2"/>
        <v>1704.9797233200004</v>
      </c>
      <c r="I33" s="264">
        <v>19.170000000000002</v>
      </c>
      <c r="J33" s="264">
        <v>1704.9797233200004</v>
      </c>
      <c r="K33" s="245"/>
      <c r="L33" s="251"/>
      <c r="M33" s="245"/>
      <c r="N33" s="251"/>
      <c r="O33" s="252">
        <f t="shared" si="1"/>
        <v>19.170000000000002</v>
      </c>
      <c r="P33" s="320">
        <v>1704.9797233200004</v>
      </c>
      <c r="Q33" s="334" t="str">
        <f t="shared" si="0"/>
        <v>-</v>
      </c>
    </row>
    <row r="34" spans="1:18" s="67" customFormat="1" ht="51.75" customHeight="1">
      <c r="A34" s="243" t="s">
        <v>383</v>
      </c>
      <c r="B34" s="254">
        <v>88315</v>
      </c>
      <c r="C34" s="285" t="s">
        <v>305</v>
      </c>
      <c r="D34" s="261"/>
      <c r="E34" s="262" t="s">
        <v>72</v>
      </c>
      <c r="F34" s="257"/>
      <c r="G34" s="253">
        <f>(19.05*$E$129)-((19.05*$E$129)*$D$134)</f>
        <v>17.672736621444752</v>
      </c>
      <c r="H34" s="250">
        <f t="shared" si="2"/>
        <v>0</v>
      </c>
      <c r="I34" s="250">
        <f t="shared" ref="I34" si="4">D34</f>
        <v>0</v>
      </c>
      <c r="J34" s="250">
        <v>0</v>
      </c>
      <c r="K34" s="257"/>
      <c r="L34" s="258"/>
      <c r="M34" s="256">
        <v>80</v>
      </c>
      <c r="N34" s="258">
        <f>M34*G34</f>
        <v>1413.8189297155802</v>
      </c>
      <c r="O34" s="252">
        <f t="shared" si="1"/>
        <v>80</v>
      </c>
      <c r="P34" s="320">
        <f t="shared" si="3"/>
        <v>1413.8189297155802</v>
      </c>
      <c r="Q34" s="334" t="str">
        <f t="shared" si="0"/>
        <v>ADITIVO</v>
      </c>
    </row>
    <row r="35" spans="1:18" s="68" customFormat="1" ht="15.75">
      <c r="A35" s="215" t="s">
        <v>13</v>
      </c>
      <c r="B35" s="215"/>
      <c r="C35" s="219" t="s">
        <v>179</v>
      </c>
      <c r="D35" s="224"/>
      <c r="E35" s="215"/>
      <c r="F35" s="215"/>
      <c r="G35" s="318"/>
      <c r="H35" s="280">
        <f>SUM(H36:H52)</f>
        <v>11627.059121679998</v>
      </c>
      <c r="I35" s="227"/>
      <c r="J35" s="280">
        <v>11627.059121679998</v>
      </c>
      <c r="K35" s="215"/>
      <c r="L35" s="226">
        <f>SUM(L36:L52)</f>
        <v>0</v>
      </c>
      <c r="M35" s="215"/>
      <c r="N35" s="227">
        <f>SUM(N36:N52)</f>
        <v>2667.4829744243498</v>
      </c>
      <c r="O35" s="215"/>
      <c r="P35" s="321">
        <f>SUM(P36:P52)</f>
        <v>14294.542096104351</v>
      </c>
      <c r="Q35" s="334"/>
      <c r="R35" s="282"/>
    </row>
    <row r="36" spans="1:18" s="67" customFormat="1" ht="42" customHeight="1">
      <c r="A36" s="243" t="s">
        <v>14</v>
      </c>
      <c r="B36" s="249">
        <v>1368</v>
      </c>
      <c r="C36" s="255" t="s">
        <v>180</v>
      </c>
      <c r="D36" s="261">
        <v>2</v>
      </c>
      <c r="E36" s="262" t="s">
        <v>314</v>
      </c>
      <c r="F36" s="245"/>
      <c r="G36" s="253">
        <v>63.184888000000008</v>
      </c>
      <c r="H36" s="250">
        <f t="shared" si="2"/>
        <v>126.36977600000002</v>
      </c>
      <c r="I36" s="264">
        <v>0</v>
      </c>
      <c r="J36" s="264">
        <v>126.36977600000002</v>
      </c>
      <c r="K36" s="245"/>
      <c r="L36" s="251"/>
      <c r="M36" s="245"/>
      <c r="N36" s="251"/>
      <c r="O36" s="252">
        <f t="shared" ref="O36:O52" si="5">M36+D36</f>
        <v>2</v>
      </c>
      <c r="P36" s="320">
        <v>126.36977600000002</v>
      </c>
      <c r="Q36" s="334" t="str">
        <f t="shared" si="0"/>
        <v>-</v>
      </c>
    </row>
    <row r="37" spans="1:18" s="67" customFormat="1" ht="42" customHeight="1">
      <c r="A37" s="243" t="s">
        <v>15</v>
      </c>
      <c r="B37" s="249">
        <v>36081</v>
      </c>
      <c r="C37" s="255" t="s">
        <v>181</v>
      </c>
      <c r="D37" s="261">
        <v>6</v>
      </c>
      <c r="E37" s="262" t="s">
        <v>314</v>
      </c>
      <c r="F37" s="245"/>
      <c r="G37" s="253">
        <v>106.19555199999999</v>
      </c>
      <c r="H37" s="250">
        <f t="shared" si="2"/>
        <v>637.1733119999999</v>
      </c>
      <c r="I37" s="264">
        <v>0</v>
      </c>
      <c r="J37" s="264">
        <v>637.1733119999999</v>
      </c>
      <c r="K37" s="245"/>
      <c r="L37" s="251"/>
      <c r="M37" s="245"/>
      <c r="N37" s="251"/>
      <c r="O37" s="252">
        <f t="shared" si="5"/>
        <v>6</v>
      </c>
      <c r="P37" s="320">
        <v>637.1733119999999</v>
      </c>
      <c r="Q37" s="334" t="str">
        <f t="shared" si="0"/>
        <v>-</v>
      </c>
    </row>
    <row r="38" spans="1:18" s="67" customFormat="1" ht="75.75" customHeight="1">
      <c r="A38" s="243" t="s">
        <v>16</v>
      </c>
      <c r="B38" s="249">
        <v>95470</v>
      </c>
      <c r="C38" s="255" t="s">
        <v>182</v>
      </c>
      <c r="D38" s="261">
        <v>4</v>
      </c>
      <c r="E38" s="262" t="s">
        <v>314</v>
      </c>
      <c r="F38" s="245"/>
      <c r="G38" s="253">
        <v>178.79589200000001</v>
      </c>
      <c r="H38" s="250">
        <f t="shared" si="2"/>
        <v>715.18356800000004</v>
      </c>
      <c r="I38" s="264">
        <v>0</v>
      </c>
      <c r="J38" s="264">
        <v>715.18356800000004</v>
      </c>
      <c r="K38" s="245"/>
      <c r="L38" s="251"/>
      <c r="M38" s="245"/>
      <c r="N38" s="251"/>
      <c r="O38" s="252">
        <f t="shared" si="5"/>
        <v>4</v>
      </c>
      <c r="P38" s="320">
        <v>715.18356800000004</v>
      </c>
      <c r="Q38" s="334" t="str">
        <f t="shared" si="0"/>
        <v>-</v>
      </c>
    </row>
    <row r="39" spans="1:18" s="67" customFormat="1" ht="48" customHeight="1">
      <c r="A39" s="243" t="s">
        <v>17</v>
      </c>
      <c r="B39" s="249">
        <v>40729</v>
      </c>
      <c r="C39" s="255" t="s">
        <v>183</v>
      </c>
      <c r="D39" s="261">
        <v>6</v>
      </c>
      <c r="E39" s="262" t="s">
        <v>314</v>
      </c>
      <c r="F39" s="245"/>
      <c r="G39" s="253">
        <v>215.10216800000001</v>
      </c>
      <c r="H39" s="250">
        <f t="shared" si="2"/>
        <v>1290.613008</v>
      </c>
      <c r="I39" s="264">
        <v>0</v>
      </c>
      <c r="J39" s="264">
        <v>1290.613008</v>
      </c>
      <c r="K39" s="245"/>
      <c r="L39" s="251"/>
      <c r="M39" s="245"/>
      <c r="N39" s="251"/>
      <c r="O39" s="252">
        <f t="shared" si="5"/>
        <v>6</v>
      </c>
      <c r="P39" s="320">
        <v>1290.613008</v>
      </c>
      <c r="Q39" s="334" t="str">
        <f t="shared" si="0"/>
        <v>-</v>
      </c>
    </row>
    <row r="40" spans="1:18" s="67" customFormat="1" ht="62.25" customHeight="1">
      <c r="A40" s="243" t="s">
        <v>194</v>
      </c>
      <c r="B40" s="249">
        <v>95471</v>
      </c>
      <c r="C40" s="255" t="s">
        <v>184</v>
      </c>
      <c r="D40" s="261">
        <v>2</v>
      </c>
      <c r="E40" s="262" t="s">
        <v>314</v>
      </c>
      <c r="F40" s="245"/>
      <c r="G40" s="253">
        <v>595.48154399999999</v>
      </c>
      <c r="H40" s="250">
        <f t="shared" si="2"/>
        <v>1190.963088</v>
      </c>
      <c r="I40" s="264">
        <v>0</v>
      </c>
      <c r="J40" s="264">
        <v>1190.963088</v>
      </c>
      <c r="K40" s="245"/>
      <c r="L40" s="251"/>
      <c r="M40" s="245"/>
      <c r="N40" s="251"/>
      <c r="O40" s="252">
        <f t="shared" si="5"/>
        <v>2</v>
      </c>
      <c r="P40" s="320">
        <v>1190.963088</v>
      </c>
      <c r="Q40" s="334" t="str">
        <f t="shared" si="0"/>
        <v>-</v>
      </c>
    </row>
    <row r="41" spans="1:18" s="67" customFormat="1" ht="52.5" customHeight="1">
      <c r="A41" s="243" t="s">
        <v>195</v>
      </c>
      <c r="B41" s="249">
        <v>86902</v>
      </c>
      <c r="C41" s="255" t="s">
        <v>185</v>
      </c>
      <c r="D41" s="261">
        <v>2</v>
      </c>
      <c r="E41" s="262" t="s">
        <v>314</v>
      </c>
      <c r="F41" s="245"/>
      <c r="G41" s="253">
        <v>210.68142400000002</v>
      </c>
      <c r="H41" s="250">
        <f t="shared" si="2"/>
        <v>421.36284800000004</v>
      </c>
      <c r="I41" s="264">
        <v>0</v>
      </c>
      <c r="J41" s="264">
        <v>421.36284800000004</v>
      </c>
      <c r="K41" s="245"/>
      <c r="L41" s="251"/>
      <c r="M41" s="245"/>
      <c r="N41" s="251"/>
      <c r="O41" s="252">
        <f t="shared" si="5"/>
        <v>2</v>
      </c>
      <c r="P41" s="320">
        <v>421.36284800000004</v>
      </c>
      <c r="Q41" s="334" t="str">
        <f t="shared" si="0"/>
        <v>-</v>
      </c>
    </row>
    <row r="42" spans="1:18" s="67" customFormat="1" ht="63" customHeight="1">
      <c r="A42" s="243" t="s">
        <v>196</v>
      </c>
      <c r="B42" s="249">
        <v>86904</v>
      </c>
      <c r="C42" s="255" t="s">
        <v>186</v>
      </c>
      <c r="D42" s="261">
        <v>4</v>
      </c>
      <c r="E42" s="262" t="s">
        <v>314</v>
      </c>
      <c r="F42" s="245"/>
      <c r="G42" s="253">
        <v>106.29324800000002</v>
      </c>
      <c r="H42" s="250">
        <f t="shared" si="2"/>
        <v>425.17299200000008</v>
      </c>
      <c r="I42" s="264">
        <v>0</v>
      </c>
      <c r="J42" s="264">
        <v>425.17299200000008</v>
      </c>
      <c r="K42" s="245"/>
      <c r="L42" s="251"/>
      <c r="M42" s="245"/>
      <c r="N42" s="251"/>
      <c r="O42" s="252">
        <f t="shared" si="5"/>
        <v>4</v>
      </c>
      <c r="P42" s="320">
        <v>425.17299200000008</v>
      </c>
      <c r="Q42" s="334" t="str">
        <f t="shared" si="0"/>
        <v>-</v>
      </c>
    </row>
    <row r="43" spans="1:18" s="67" customFormat="1" ht="50.25" customHeight="1">
      <c r="A43" s="243" t="s">
        <v>197</v>
      </c>
      <c r="B43" s="249">
        <v>86913</v>
      </c>
      <c r="C43" s="255" t="s">
        <v>187</v>
      </c>
      <c r="D43" s="261">
        <v>6</v>
      </c>
      <c r="E43" s="262" t="s">
        <v>314</v>
      </c>
      <c r="F43" s="245"/>
      <c r="G43" s="253">
        <v>18.452332000000002</v>
      </c>
      <c r="H43" s="250">
        <f t="shared" si="2"/>
        <v>110.71399200000002</v>
      </c>
      <c r="I43" s="264">
        <v>0</v>
      </c>
      <c r="J43" s="264">
        <v>110.71399200000002</v>
      </c>
      <c r="K43" s="245"/>
      <c r="L43" s="251"/>
      <c r="M43" s="245"/>
      <c r="N43" s="251"/>
      <c r="O43" s="252">
        <f t="shared" si="5"/>
        <v>6</v>
      </c>
      <c r="P43" s="320">
        <v>110.71399200000002</v>
      </c>
      <c r="Q43" s="334" t="str">
        <f t="shared" si="0"/>
        <v>-</v>
      </c>
    </row>
    <row r="44" spans="1:18" s="67" customFormat="1" ht="56.25" customHeight="1">
      <c r="A44" s="243" t="s">
        <v>384</v>
      </c>
      <c r="B44" s="249">
        <v>11795</v>
      </c>
      <c r="C44" s="255" t="s">
        <v>188</v>
      </c>
      <c r="D44" s="261">
        <v>2.76</v>
      </c>
      <c r="E44" s="262" t="s">
        <v>300</v>
      </c>
      <c r="F44" s="245"/>
      <c r="G44" s="253">
        <v>205.320356</v>
      </c>
      <c r="H44" s="250">
        <f t="shared" si="2"/>
        <v>566.68418255999995</v>
      </c>
      <c r="I44" s="264">
        <v>0</v>
      </c>
      <c r="J44" s="264">
        <v>566.68418255999995</v>
      </c>
      <c r="K44" s="245"/>
      <c r="L44" s="251"/>
      <c r="M44" s="245"/>
      <c r="N44" s="251"/>
      <c r="O44" s="252">
        <f t="shared" si="5"/>
        <v>2.76</v>
      </c>
      <c r="P44" s="320">
        <v>566.68418255999995</v>
      </c>
      <c r="Q44" s="334" t="str">
        <f t="shared" si="0"/>
        <v>-</v>
      </c>
    </row>
    <row r="45" spans="1:18" s="67" customFormat="1" ht="77.25" customHeight="1">
      <c r="A45" s="243" t="s">
        <v>385</v>
      </c>
      <c r="B45" s="249">
        <v>86920</v>
      </c>
      <c r="C45" s="255" t="s">
        <v>189</v>
      </c>
      <c r="D45" s="261">
        <v>1</v>
      </c>
      <c r="E45" s="262" t="s">
        <v>314</v>
      </c>
      <c r="F45" s="245"/>
      <c r="G45" s="253">
        <v>631.1405840000001</v>
      </c>
      <c r="H45" s="250">
        <f t="shared" si="2"/>
        <v>631.1405840000001</v>
      </c>
      <c r="I45" s="264">
        <v>0</v>
      </c>
      <c r="J45" s="264">
        <v>631.1405840000001</v>
      </c>
      <c r="K45" s="245"/>
      <c r="L45" s="251"/>
      <c r="M45" s="245"/>
      <c r="N45" s="251"/>
      <c r="O45" s="252">
        <f t="shared" si="5"/>
        <v>1</v>
      </c>
      <c r="P45" s="320">
        <v>631.1405840000001</v>
      </c>
      <c r="Q45" s="334" t="str">
        <f t="shared" si="0"/>
        <v>-</v>
      </c>
    </row>
    <row r="46" spans="1:18" s="67" customFormat="1" ht="51.75" customHeight="1">
      <c r="A46" s="243" t="s">
        <v>386</v>
      </c>
      <c r="B46" s="249" t="s">
        <v>193</v>
      </c>
      <c r="C46" s="255" t="s">
        <v>190</v>
      </c>
      <c r="D46" s="261">
        <v>3.36</v>
      </c>
      <c r="E46" s="262" t="s">
        <v>300</v>
      </c>
      <c r="F46" s="245"/>
      <c r="G46" s="253">
        <v>366.28672800000004</v>
      </c>
      <c r="H46" s="250">
        <f t="shared" si="2"/>
        <v>1230.7234060800001</v>
      </c>
      <c r="I46" s="264">
        <v>0</v>
      </c>
      <c r="J46" s="264">
        <v>1230.7234060800001</v>
      </c>
      <c r="K46" s="245"/>
      <c r="L46" s="251"/>
      <c r="M46" s="245"/>
      <c r="N46" s="251"/>
      <c r="O46" s="252">
        <f t="shared" si="5"/>
        <v>3.36</v>
      </c>
      <c r="P46" s="320">
        <v>1230.7234060800001</v>
      </c>
      <c r="Q46" s="334" t="str">
        <f t="shared" si="0"/>
        <v>-</v>
      </c>
    </row>
    <row r="47" spans="1:18" s="67" customFormat="1" ht="65.25" customHeight="1">
      <c r="A47" s="243" t="s">
        <v>387</v>
      </c>
      <c r="B47" s="249">
        <v>91341</v>
      </c>
      <c r="C47" s="255" t="s">
        <v>191</v>
      </c>
      <c r="D47" s="261">
        <v>11.34</v>
      </c>
      <c r="E47" s="262" t="s">
        <v>300</v>
      </c>
      <c r="F47" s="245"/>
      <c r="G47" s="253">
        <v>377.50955600000003</v>
      </c>
      <c r="H47" s="250">
        <f t="shared" si="2"/>
        <v>4280.95836504</v>
      </c>
      <c r="I47" s="264">
        <v>0</v>
      </c>
      <c r="J47" s="264">
        <v>4280.95836504</v>
      </c>
      <c r="K47" s="245"/>
      <c r="L47" s="251"/>
      <c r="M47" s="245"/>
      <c r="N47" s="251"/>
      <c r="O47" s="252">
        <f t="shared" si="5"/>
        <v>11.34</v>
      </c>
      <c r="P47" s="320">
        <v>4280.95836504</v>
      </c>
      <c r="Q47" s="334" t="str">
        <f t="shared" si="0"/>
        <v>-</v>
      </c>
    </row>
    <row r="48" spans="1:18" s="67" customFormat="1" ht="83.25" customHeight="1">
      <c r="A48" s="243" t="s">
        <v>388</v>
      </c>
      <c r="B48" s="249">
        <v>94779</v>
      </c>
      <c r="C48" s="285" t="s">
        <v>327</v>
      </c>
      <c r="D48" s="261"/>
      <c r="E48" s="262" t="s">
        <v>300</v>
      </c>
      <c r="F48" s="245"/>
      <c r="G48" s="253">
        <f>(32.74*$E$129)-((32.74*$E$129)*$D$134)</f>
        <v>30.372986718430511</v>
      </c>
      <c r="H48" s="250">
        <f>D48*G48</f>
        <v>0</v>
      </c>
      <c r="I48" s="264">
        <v>0</v>
      </c>
      <c r="J48" s="264">
        <v>0</v>
      </c>
      <c r="K48" s="245"/>
      <c r="L48" s="251"/>
      <c r="M48" s="256">
        <v>54.6</v>
      </c>
      <c r="N48" s="258">
        <f t="shared" ref="N48:N52" si="6">M48*G48</f>
        <v>1658.365074826306</v>
      </c>
      <c r="O48" s="252">
        <f t="shared" si="5"/>
        <v>54.6</v>
      </c>
      <c r="P48" s="320">
        <f t="shared" ref="P48:P52" si="7">G48*O48</f>
        <v>1658.365074826306</v>
      </c>
      <c r="Q48" s="334" t="str">
        <f t="shared" si="0"/>
        <v>ADITIVO</v>
      </c>
    </row>
    <row r="49" spans="1:17" s="67" customFormat="1" ht="83.25" customHeight="1">
      <c r="A49" s="243" t="s">
        <v>389</v>
      </c>
      <c r="B49" s="249">
        <v>91926</v>
      </c>
      <c r="C49" s="285" t="s">
        <v>328</v>
      </c>
      <c r="D49" s="261"/>
      <c r="E49" s="262" t="s">
        <v>262</v>
      </c>
      <c r="F49" s="245"/>
      <c r="G49" s="253">
        <f>(2.31*$E$129)-((2.31*$E$129)*$D$134)</f>
        <v>2.1429932596082613</v>
      </c>
      <c r="H49" s="250">
        <f t="shared" ref="H49:H52" si="8">D49*G49</f>
        <v>0</v>
      </c>
      <c r="I49" s="264">
        <v>0</v>
      </c>
      <c r="J49" s="264">
        <v>0</v>
      </c>
      <c r="K49" s="245"/>
      <c r="L49" s="251"/>
      <c r="M49" s="256">
        <v>100</v>
      </c>
      <c r="N49" s="258">
        <f t="shared" si="6"/>
        <v>214.29932596082614</v>
      </c>
      <c r="O49" s="252">
        <f t="shared" si="5"/>
        <v>100</v>
      </c>
      <c r="P49" s="320">
        <f t="shared" si="7"/>
        <v>214.29932596082614</v>
      </c>
      <c r="Q49" s="334" t="str">
        <f t="shared" si="0"/>
        <v>ADITIVO</v>
      </c>
    </row>
    <row r="50" spans="1:17" s="67" customFormat="1" ht="83.25" customHeight="1">
      <c r="A50" s="243" t="s">
        <v>390</v>
      </c>
      <c r="B50" s="249">
        <v>97589</v>
      </c>
      <c r="C50" s="285" t="s">
        <v>338</v>
      </c>
      <c r="D50" s="261"/>
      <c r="E50" s="262" t="s">
        <v>329</v>
      </c>
      <c r="F50" s="245"/>
      <c r="G50" s="253">
        <f>(27.24*$E$129)-((27.24 *$E$129)*$D$134)</f>
        <v>25.270621814601313</v>
      </c>
      <c r="H50" s="250">
        <f t="shared" si="8"/>
        <v>0</v>
      </c>
      <c r="I50" s="264">
        <v>0</v>
      </c>
      <c r="J50" s="264">
        <v>0</v>
      </c>
      <c r="K50" s="245"/>
      <c r="L50" s="251"/>
      <c r="M50" s="256">
        <v>12</v>
      </c>
      <c r="N50" s="258">
        <f t="shared" si="6"/>
        <v>303.24746177521575</v>
      </c>
      <c r="O50" s="252">
        <f t="shared" si="5"/>
        <v>12</v>
      </c>
      <c r="P50" s="320">
        <f t="shared" si="7"/>
        <v>303.24746177521575</v>
      </c>
      <c r="Q50" s="334" t="str">
        <f t="shared" si="0"/>
        <v>ADITIVO</v>
      </c>
    </row>
    <row r="51" spans="1:17" s="67" customFormat="1" ht="83.25" customHeight="1">
      <c r="A51" s="243" t="s">
        <v>391</v>
      </c>
      <c r="B51" s="249">
        <v>93128</v>
      </c>
      <c r="C51" s="285" t="s">
        <v>330</v>
      </c>
      <c r="D51" s="261"/>
      <c r="E51" s="262" t="s">
        <v>329</v>
      </c>
      <c r="F51" s="245"/>
      <c r="G51" s="253">
        <f>(99.08 *$E$129)-((99.08*$E$129)*$D$134)</f>
        <v>91.916784485708462</v>
      </c>
      <c r="H51" s="250">
        <f t="shared" si="8"/>
        <v>0</v>
      </c>
      <c r="I51" s="264">
        <v>0</v>
      </c>
      <c r="J51" s="264">
        <v>0</v>
      </c>
      <c r="K51" s="245"/>
      <c r="L51" s="251"/>
      <c r="M51" s="256">
        <v>3</v>
      </c>
      <c r="N51" s="258">
        <f t="shared" si="6"/>
        <v>275.75035345712536</v>
      </c>
      <c r="O51" s="252">
        <f t="shared" si="5"/>
        <v>3</v>
      </c>
      <c r="P51" s="320">
        <f t="shared" si="7"/>
        <v>275.75035345712536</v>
      </c>
      <c r="Q51" s="334" t="str">
        <f t="shared" si="0"/>
        <v>ADITIVO</v>
      </c>
    </row>
    <row r="52" spans="1:17" s="67" customFormat="1" ht="83.25" customHeight="1">
      <c r="A52" s="243" t="s">
        <v>392</v>
      </c>
      <c r="B52" s="249">
        <v>93137</v>
      </c>
      <c r="C52" s="285" t="s">
        <v>331</v>
      </c>
      <c r="D52" s="261"/>
      <c r="E52" s="262" t="s">
        <v>329</v>
      </c>
      <c r="F52" s="245"/>
      <c r="G52" s="253">
        <f>(116.32 *$E$129)-((116.32 *$E$129)*$D$134)</f>
        <v>107.91037920243849</v>
      </c>
      <c r="H52" s="250">
        <f t="shared" si="8"/>
        <v>0</v>
      </c>
      <c r="I52" s="264">
        <v>0</v>
      </c>
      <c r="J52" s="264">
        <v>0</v>
      </c>
      <c r="K52" s="245"/>
      <c r="L52" s="251"/>
      <c r="M52" s="256">
        <v>2</v>
      </c>
      <c r="N52" s="258">
        <f t="shared" si="6"/>
        <v>215.82075840487698</v>
      </c>
      <c r="O52" s="252">
        <f t="shared" si="5"/>
        <v>2</v>
      </c>
      <c r="P52" s="320">
        <f t="shared" si="7"/>
        <v>215.82075840487698</v>
      </c>
      <c r="Q52" s="334" t="str">
        <f t="shared" si="0"/>
        <v>ADITIVO</v>
      </c>
    </row>
    <row r="53" spans="1:17" s="68" customFormat="1" ht="15.75">
      <c r="A53" s="215" t="s">
        <v>18</v>
      </c>
      <c r="B53" s="215"/>
      <c r="C53" s="219" t="s">
        <v>192</v>
      </c>
      <c r="D53" s="224"/>
      <c r="E53" s="215"/>
      <c r="F53" s="215"/>
      <c r="G53" s="318"/>
      <c r="H53" s="280">
        <f>SUM(H54:H59)</f>
        <v>2570.3817600000007</v>
      </c>
      <c r="I53" s="227"/>
      <c r="J53" s="280">
        <v>2570.3817600000007</v>
      </c>
      <c r="K53" s="215"/>
      <c r="L53" s="226">
        <f>SUM(L54:L59)</f>
        <v>0</v>
      </c>
      <c r="M53" s="215"/>
      <c r="N53" s="227">
        <f>SUM(N54:N59)</f>
        <v>7087.9084595323829</v>
      </c>
      <c r="O53" s="215"/>
      <c r="P53" s="321">
        <f>SUM(P54:P59)</f>
        <v>9658.2902195323859</v>
      </c>
      <c r="Q53" s="334"/>
    </row>
    <row r="54" spans="1:17" s="67" customFormat="1" ht="87" customHeight="1">
      <c r="A54" s="244" t="s">
        <v>19</v>
      </c>
      <c r="B54" s="249">
        <v>91787</v>
      </c>
      <c r="C54" s="255" t="s">
        <v>198</v>
      </c>
      <c r="D54" s="261">
        <v>20</v>
      </c>
      <c r="E54" s="262" t="s">
        <v>262</v>
      </c>
      <c r="F54" s="245"/>
      <c r="G54" s="253">
        <v>20.100952000000003</v>
      </c>
      <c r="H54" s="250">
        <f t="shared" si="2"/>
        <v>402.01904000000007</v>
      </c>
      <c r="I54" s="264">
        <v>0</v>
      </c>
      <c r="J54" s="264">
        <v>402.01904000000007</v>
      </c>
      <c r="K54" s="245"/>
      <c r="L54" s="251"/>
      <c r="M54" s="245"/>
      <c r="N54" s="251"/>
      <c r="O54" s="252">
        <f t="shared" ref="O54:O59" si="9">M54+D54</f>
        <v>20</v>
      </c>
      <c r="P54" s="320">
        <v>402.01904000000007</v>
      </c>
      <c r="Q54" s="334" t="str">
        <f t="shared" si="0"/>
        <v>-</v>
      </c>
    </row>
    <row r="55" spans="1:17" s="67" customFormat="1" ht="95.25" customHeight="1">
      <c r="A55" s="244" t="s">
        <v>20</v>
      </c>
      <c r="B55" s="249">
        <v>91795</v>
      </c>
      <c r="C55" s="255" t="s">
        <v>199</v>
      </c>
      <c r="D55" s="261">
        <v>46</v>
      </c>
      <c r="E55" s="262" t="s">
        <v>262</v>
      </c>
      <c r="F55" s="245"/>
      <c r="G55" s="253">
        <v>47.138320000000007</v>
      </c>
      <c r="H55" s="250">
        <f t="shared" si="2"/>
        <v>2168.3627200000005</v>
      </c>
      <c r="I55" s="264">
        <v>0</v>
      </c>
      <c r="J55" s="264">
        <v>2168.3627200000005</v>
      </c>
      <c r="K55" s="245"/>
      <c r="L55" s="251"/>
      <c r="M55" s="245"/>
      <c r="N55" s="251"/>
      <c r="O55" s="252">
        <f t="shared" si="9"/>
        <v>46</v>
      </c>
      <c r="P55" s="320">
        <v>2168.3627200000005</v>
      </c>
      <c r="Q55" s="334" t="str">
        <f t="shared" si="0"/>
        <v>-</v>
      </c>
    </row>
    <row r="56" spans="1:17" s="67" customFormat="1" ht="96" customHeight="1">
      <c r="A56" s="244" t="s">
        <v>21</v>
      </c>
      <c r="B56" s="254">
        <v>91786</v>
      </c>
      <c r="C56" s="285" t="s">
        <v>200</v>
      </c>
      <c r="D56" s="261"/>
      <c r="E56" s="262" t="s">
        <v>262</v>
      </c>
      <c r="F56" s="257"/>
      <c r="G56" s="253">
        <f>(20.19*$E$129)-((20.19*$E$129)*$D$134)</f>
        <v>18.730317710602076</v>
      </c>
      <c r="H56" s="250">
        <f t="shared" si="2"/>
        <v>0</v>
      </c>
      <c r="I56" s="250">
        <v>0</v>
      </c>
      <c r="J56" s="250">
        <v>0</v>
      </c>
      <c r="K56" s="245"/>
      <c r="L56" s="251"/>
      <c r="M56" s="256">
        <v>120</v>
      </c>
      <c r="N56" s="258">
        <f t="shared" ref="N56:N59" si="10">M56*G56</f>
        <v>2247.638125272249</v>
      </c>
      <c r="O56" s="252">
        <f t="shared" si="9"/>
        <v>120</v>
      </c>
      <c r="P56" s="320">
        <f t="shared" ref="P56:P92" si="11">G56*O56</f>
        <v>2247.638125272249</v>
      </c>
      <c r="Q56" s="334" t="str">
        <f t="shared" si="0"/>
        <v>ADITIVO</v>
      </c>
    </row>
    <row r="57" spans="1:17" s="67" customFormat="1" ht="44.25" customHeight="1">
      <c r="A57" s="244" t="s">
        <v>230</v>
      </c>
      <c r="B57" s="254">
        <v>94288</v>
      </c>
      <c r="C57" s="285" t="s">
        <v>296</v>
      </c>
      <c r="D57" s="261"/>
      <c r="E57" s="262" t="s">
        <v>262</v>
      </c>
      <c r="F57" s="257"/>
      <c r="G57" s="253">
        <f>(37.28*$E$129)-((37.28*$E$129)*$D$134)</f>
        <v>34.58475702086406</v>
      </c>
      <c r="H57" s="250">
        <f t="shared" si="2"/>
        <v>0</v>
      </c>
      <c r="I57" s="250">
        <v>0</v>
      </c>
      <c r="J57" s="250">
        <v>0</v>
      </c>
      <c r="K57" s="245"/>
      <c r="L57" s="251"/>
      <c r="M57" s="256">
        <v>66</v>
      </c>
      <c r="N57" s="258">
        <f t="shared" si="10"/>
        <v>2282.5939633770281</v>
      </c>
      <c r="O57" s="252">
        <f t="shared" si="9"/>
        <v>66</v>
      </c>
      <c r="P57" s="320">
        <f t="shared" si="11"/>
        <v>2282.5939633770281</v>
      </c>
      <c r="Q57" s="334" t="str">
        <f t="shared" si="0"/>
        <v>ADITIVO</v>
      </c>
    </row>
    <row r="58" spans="1:17" s="67" customFormat="1" ht="46.5" customHeight="1">
      <c r="A58" s="244" t="s">
        <v>231</v>
      </c>
      <c r="B58" s="254">
        <v>93358</v>
      </c>
      <c r="C58" s="285" t="s">
        <v>297</v>
      </c>
      <c r="D58" s="261"/>
      <c r="E58" s="262" t="s">
        <v>73</v>
      </c>
      <c r="F58" s="257"/>
      <c r="G58" s="319">
        <f>(59.89*$E$129)-((59.89*$E$129)*$D$134)</f>
        <v>55.560115289150986</v>
      </c>
      <c r="H58" s="250">
        <f t="shared" si="2"/>
        <v>0</v>
      </c>
      <c r="I58" s="250">
        <v>0</v>
      </c>
      <c r="J58" s="250">
        <v>0</v>
      </c>
      <c r="K58" s="245"/>
      <c r="L58" s="251"/>
      <c r="M58" s="256">
        <f>120*0.2*0.5</f>
        <v>12</v>
      </c>
      <c r="N58" s="258">
        <f t="shared" si="10"/>
        <v>666.72138346981183</v>
      </c>
      <c r="O58" s="252">
        <f t="shared" si="9"/>
        <v>12</v>
      </c>
      <c r="P58" s="320">
        <f t="shared" si="11"/>
        <v>666.72138346981183</v>
      </c>
      <c r="Q58" s="334" t="str">
        <f t="shared" si="0"/>
        <v>ADITIVO</v>
      </c>
    </row>
    <row r="59" spans="1:17" s="67" customFormat="1" ht="83.25" customHeight="1">
      <c r="A59" s="244" t="s">
        <v>232</v>
      </c>
      <c r="B59" s="254">
        <v>91788</v>
      </c>
      <c r="C59" s="285" t="s">
        <v>298</v>
      </c>
      <c r="D59" s="261"/>
      <c r="E59" s="262" t="s">
        <v>262</v>
      </c>
      <c r="F59" s="257"/>
      <c r="G59" s="253">
        <f>(28.31*$E$129)-((28.31*$E$129)*$D$134)</f>
        <v>26.263263714073538</v>
      </c>
      <c r="H59" s="250">
        <f t="shared" si="2"/>
        <v>0</v>
      </c>
      <c r="I59" s="250">
        <v>0</v>
      </c>
      <c r="J59" s="250">
        <v>0</v>
      </c>
      <c r="K59" s="245"/>
      <c r="L59" s="251"/>
      <c r="M59" s="256">
        <v>72</v>
      </c>
      <c r="N59" s="258">
        <f t="shared" si="10"/>
        <v>1890.9549874132947</v>
      </c>
      <c r="O59" s="252">
        <f t="shared" si="9"/>
        <v>72</v>
      </c>
      <c r="P59" s="320">
        <f t="shared" si="11"/>
        <v>1890.9549874132947</v>
      </c>
      <c r="Q59" s="334" t="str">
        <f t="shared" si="0"/>
        <v>ADITIVO</v>
      </c>
    </row>
    <row r="60" spans="1:17" s="68" customFormat="1" ht="15.75">
      <c r="A60" s="215" t="s">
        <v>22</v>
      </c>
      <c r="B60" s="215"/>
      <c r="C60" s="219" t="s">
        <v>201</v>
      </c>
      <c r="D60" s="224"/>
      <c r="E60" s="215"/>
      <c r="F60" s="215"/>
      <c r="G60" s="318"/>
      <c r="H60" s="280">
        <f>SUM(H61:H63)</f>
        <v>1695.533423808</v>
      </c>
      <c r="I60" s="227"/>
      <c r="J60" s="280">
        <v>1695.533423808</v>
      </c>
      <c r="K60" s="215"/>
      <c r="L60" s="226">
        <f>SUM(L61:L63)</f>
        <v>0</v>
      </c>
      <c r="M60" s="215"/>
      <c r="N60" s="227">
        <f>SUM(N61:N63)</f>
        <v>10809.122076</v>
      </c>
      <c r="O60" s="215"/>
      <c r="P60" s="321">
        <f>SUM(P61:P63)</f>
        <v>12504.655499807999</v>
      </c>
      <c r="Q60" s="334"/>
    </row>
    <row r="61" spans="1:17" s="87" customFormat="1" ht="87" customHeight="1">
      <c r="A61" s="243" t="s">
        <v>23</v>
      </c>
      <c r="B61" s="254">
        <v>89168</v>
      </c>
      <c r="C61" s="286" t="s">
        <v>202</v>
      </c>
      <c r="D61" s="261">
        <v>12.208</v>
      </c>
      <c r="E61" s="262" t="s">
        <v>300</v>
      </c>
      <c r="F61" s="245"/>
      <c r="G61" s="253">
        <v>69.889275999999995</v>
      </c>
      <c r="H61" s="250">
        <v>853.20828140799995</v>
      </c>
      <c r="I61" s="264">
        <v>0</v>
      </c>
      <c r="J61" s="264">
        <v>853.20828140799995</v>
      </c>
      <c r="K61" s="245"/>
      <c r="L61" s="251"/>
      <c r="M61" s="256">
        <v>51</v>
      </c>
      <c r="N61" s="258">
        <f>M61*G61</f>
        <v>3564.3530759999999</v>
      </c>
      <c r="O61" s="252">
        <f>M61+D61</f>
        <v>63.207999999999998</v>
      </c>
      <c r="P61" s="320">
        <f t="shared" si="11"/>
        <v>4417.5613574079998</v>
      </c>
      <c r="Q61" s="334" t="str">
        <f t="shared" si="0"/>
        <v>ADITIVO</v>
      </c>
    </row>
    <row r="62" spans="1:17" s="67" customFormat="1" ht="82.5" customHeight="1">
      <c r="A62" s="243" t="s">
        <v>24</v>
      </c>
      <c r="B62" s="254">
        <v>87894</v>
      </c>
      <c r="C62" s="286" t="s">
        <v>203</v>
      </c>
      <c r="D62" s="261">
        <v>24.416</v>
      </c>
      <c r="E62" s="262" t="s">
        <v>300</v>
      </c>
      <c r="F62" s="245"/>
      <c r="G62" s="253">
        <v>4.8603760000000005</v>
      </c>
      <c r="H62" s="250">
        <v>118.67094041600001</v>
      </c>
      <c r="I62" s="264">
        <v>0</v>
      </c>
      <c r="J62" s="264">
        <v>118.67094041600001</v>
      </c>
      <c r="K62" s="245"/>
      <c r="L62" s="251"/>
      <c r="M62" s="256">
        <v>210</v>
      </c>
      <c r="N62" s="258">
        <f>M62*G62</f>
        <v>1020.6789600000001</v>
      </c>
      <c r="O62" s="252">
        <f>M62+D62</f>
        <v>234.416</v>
      </c>
      <c r="P62" s="320">
        <f t="shared" si="11"/>
        <v>1139.3499004160001</v>
      </c>
      <c r="Q62" s="334" t="str">
        <f t="shared" si="0"/>
        <v>ADITIVO</v>
      </c>
    </row>
    <row r="63" spans="1:17" s="67" customFormat="1" ht="103.5" customHeight="1">
      <c r="A63" s="243" t="s">
        <v>25</v>
      </c>
      <c r="B63" s="254">
        <v>89173</v>
      </c>
      <c r="C63" s="286" t="s">
        <v>204</v>
      </c>
      <c r="D63" s="261">
        <v>24.416</v>
      </c>
      <c r="E63" s="262" t="s">
        <v>300</v>
      </c>
      <c r="F63" s="245"/>
      <c r="G63" s="253">
        <v>29.638524</v>
      </c>
      <c r="H63" s="250">
        <v>723.654201984</v>
      </c>
      <c r="I63" s="264">
        <v>0</v>
      </c>
      <c r="J63" s="264">
        <v>723.654201984</v>
      </c>
      <c r="K63" s="245"/>
      <c r="L63" s="251"/>
      <c r="M63" s="256">
        <v>210</v>
      </c>
      <c r="N63" s="258">
        <f>M63*G63</f>
        <v>6224.09004</v>
      </c>
      <c r="O63" s="252">
        <f>M63+D63</f>
        <v>234.416</v>
      </c>
      <c r="P63" s="320">
        <f t="shared" si="11"/>
        <v>6947.7442419839999</v>
      </c>
      <c r="Q63" s="334" t="str">
        <f t="shared" si="0"/>
        <v>ADITIVO</v>
      </c>
    </row>
    <row r="64" spans="1:17" s="69" customFormat="1" ht="15.75">
      <c r="A64" s="215" t="s">
        <v>233</v>
      </c>
      <c r="B64" s="215"/>
      <c r="C64" s="219" t="s">
        <v>205</v>
      </c>
      <c r="D64" s="224"/>
      <c r="E64" s="215"/>
      <c r="F64" s="215"/>
      <c r="G64" s="318"/>
      <c r="H64" s="280">
        <f>SUM(H65:H66)</f>
        <v>7063.5395006400013</v>
      </c>
      <c r="I64" s="227"/>
      <c r="J64" s="280">
        <v>7063.5395006400013</v>
      </c>
      <c r="K64" s="215"/>
      <c r="L64" s="226">
        <f>SUM(L65:L66)</f>
        <v>0</v>
      </c>
      <c r="M64" s="215"/>
      <c r="N64" s="227">
        <f>SUM(N65:N66)</f>
        <v>18178.331356000002</v>
      </c>
      <c r="O64" s="215"/>
      <c r="P64" s="321">
        <f>SUM(P65:P66)</f>
        <v>25241.870856640002</v>
      </c>
      <c r="Q64" s="334"/>
    </row>
    <row r="65" spans="1:17" s="67" customFormat="1" ht="84" customHeight="1">
      <c r="A65" s="244" t="s">
        <v>234</v>
      </c>
      <c r="B65" s="254">
        <v>87269</v>
      </c>
      <c r="C65" s="286" t="s">
        <v>206</v>
      </c>
      <c r="D65" s="261">
        <v>115.696</v>
      </c>
      <c r="E65" s="262" t="s">
        <v>300</v>
      </c>
      <c r="F65" s="245"/>
      <c r="G65" s="253">
        <v>45.428640000000009</v>
      </c>
      <c r="H65" s="250">
        <v>5255.9119334400011</v>
      </c>
      <c r="I65" s="264">
        <v>0</v>
      </c>
      <c r="J65" s="264">
        <v>5255.9119334400011</v>
      </c>
      <c r="K65" s="245"/>
      <c r="L65" s="251"/>
      <c r="M65" s="256">
        <f>270.2+43.52</f>
        <v>313.71999999999997</v>
      </c>
      <c r="N65" s="258">
        <f>M65*G65</f>
        <v>14251.872940800002</v>
      </c>
      <c r="O65" s="252">
        <f>M65+D65</f>
        <v>429.41599999999994</v>
      </c>
      <c r="P65" s="320">
        <f t="shared" si="11"/>
        <v>19507.784874240002</v>
      </c>
      <c r="Q65" s="334" t="str">
        <f t="shared" si="0"/>
        <v>ADITIVO</v>
      </c>
    </row>
    <row r="66" spans="1:17" s="67" customFormat="1" ht="63" customHeight="1">
      <c r="A66" s="244" t="s">
        <v>235</v>
      </c>
      <c r="B66" s="254">
        <v>87248</v>
      </c>
      <c r="C66" s="286" t="s">
        <v>207</v>
      </c>
      <c r="D66" s="261">
        <v>54.6</v>
      </c>
      <c r="E66" s="262" t="s">
        <v>300</v>
      </c>
      <c r="F66" s="245"/>
      <c r="G66" s="253">
        <v>33.106732000000001</v>
      </c>
      <c r="H66" s="250">
        <v>1807.6275672000002</v>
      </c>
      <c r="I66" s="264">
        <v>0</v>
      </c>
      <c r="J66" s="264">
        <v>1807.6275672000002</v>
      </c>
      <c r="K66" s="245"/>
      <c r="L66" s="251"/>
      <c r="M66" s="256">
        <f>64+54.6</f>
        <v>118.6</v>
      </c>
      <c r="N66" s="258">
        <f>M66*G66</f>
        <v>3926.4584151999998</v>
      </c>
      <c r="O66" s="252">
        <f>M66+D66</f>
        <v>173.2</v>
      </c>
      <c r="P66" s="320">
        <f t="shared" si="11"/>
        <v>5734.0859823999999</v>
      </c>
      <c r="Q66" s="334" t="str">
        <f t="shared" si="0"/>
        <v>ADITIVO</v>
      </c>
    </row>
    <row r="67" spans="1:17" s="69" customFormat="1" ht="15.75">
      <c r="A67" s="215" t="s">
        <v>236</v>
      </c>
      <c r="B67" s="215"/>
      <c r="C67" s="219" t="s">
        <v>208</v>
      </c>
      <c r="D67" s="224"/>
      <c r="E67" s="215"/>
      <c r="F67" s="215"/>
      <c r="G67" s="318"/>
      <c r="H67" s="280">
        <f>SUM(H68:H70)</f>
        <v>20577.873390848003</v>
      </c>
      <c r="I67" s="227"/>
      <c r="J67" s="280">
        <v>20577.873390848003</v>
      </c>
      <c r="K67" s="215"/>
      <c r="L67" s="226">
        <f>SUM(L68:L70)</f>
        <v>0</v>
      </c>
      <c r="M67" s="215"/>
      <c r="N67" s="227">
        <f>SUM(N68:N70)</f>
        <v>16299.761691856</v>
      </c>
      <c r="O67" s="215"/>
      <c r="P67" s="321">
        <f>SUM(P68:P70)</f>
        <v>36877.635082704008</v>
      </c>
      <c r="Q67" s="334"/>
    </row>
    <row r="68" spans="1:17" s="67" customFormat="1" ht="43.5" customHeight="1">
      <c r="A68" s="244" t="s">
        <v>237</v>
      </c>
      <c r="B68" s="249">
        <v>88487</v>
      </c>
      <c r="C68" s="286" t="s">
        <v>209</v>
      </c>
      <c r="D68" s="261">
        <v>1182.4100000000001</v>
      </c>
      <c r="E68" s="262" t="s">
        <v>300</v>
      </c>
      <c r="F68" s="245"/>
      <c r="G68" s="253">
        <v>7.9378000000000002</v>
      </c>
      <c r="H68" s="250">
        <v>9385.7340980000008</v>
      </c>
      <c r="I68" s="264">
        <v>0</v>
      </c>
      <c r="J68" s="264">
        <v>9385.7340980000008</v>
      </c>
      <c r="K68" s="245"/>
      <c r="L68" s="296"/>
      <c r="M68" s="256">
        <v>994.81</v>
      </c>
      <c r="N68" s="258">
        <f>M68*G68</f>
        <v>7896.6028179999994</v>
      </c>
      <c r="O68" s="252">
        <f>M68+D68</f>
        <v>2177.2200000000003</v>
      </c>
      <c r="P68" s="320">
        <f t="shared" si="11"/>
        <v>17282.336916000004</v>
      </c>
      <c r="Q68" s="334" t="str">
        <f t="shared" si="0"/>
        <v>ADITIVO</v>
      </c>
    </row>
    <row r="69" spans="1:17" s="67" customFormat="1" ht="43.5" customHeight="1">
      <c r="A69" s="244" t="s">
        <v>238</v>
      </c>
      <c r="B69" s="254" t="s">
        <v>257</v>
      </c>
      <c r="C69" s="286" t="s">
        <v>210</v>
      </c>
      <c r="D69" s="261">
        <v>268.93400000000003</v>
      </c>
      <c r="E69" s="262" t="s">
        <v>300</v>
      </c>
      <c r="F69" s="257"/>
      <c r="G69" s="253">
        <v>21.322152000000003</v>
      </c>
      <c r="H69" s="250">
        <v>5734.2516259680015</v>
      </c>
      <c r="I69" s="264">
        <v>0</v>
      </c>
      <c r="J69" s="264">
        <v>5734.2516259680015</v>
      </c>
      <c r="K69" s="256"/>
      <c r="L69" s="258"/>
      <c r="M69" s="256">
        <v>272</v>
      </c>
      <c r="N69" s="258">
        <f>M69*G69</f>
        <v>5799.625344000001</v>
      </c>
      <c r="O69" s="252">
        <f>M69+D69</f>
        <v>540.93399999999997</v>
      </c>
      <c r="P69" s="320">
        <f t="shared" si="11"/>
        <v>11533.876969968002</v>
      </c>
      <c r="Q69" s="334" t="str">
        <f t="shared" si="0"/>
        <v>ADITIVO</v>
      </c>
    </row>
    <row r="70" spans="1:17" s="81" customFormat="1" ht="30" customHeight="1">
      <c r="A70" s="244" t="s">
        <v>393</v>
      </c>
      <c r="B70" s="249">
        <v>79460</v>
      </c>
      <c r="C70" s="286" t="s">
        <v>211</v>
      </c>
      <c r="D70" s="261">
        <v>167.64</v>
      </c>
      <c r="E70" s="262" t="s">
        <v>300</v>
      </c>
      <c r="F70" s="245"/>
      <c r="G70" s="253">
        <v>32.557192000000001</v>
      </c>
      <c r="H70" s="250">
        <v>5457.8876668799994</v>
      </c>
      <c r="I70" s="264">
        <v>0</v>
      </c>
      <c r="J70" s="264">
        <v>5457.8876668799994</v>
      </c>
      <c r="K70" s="246"/>
      <c r="L70" s="297"/>
      <c r="M70" s="256">
        <v>79.968000000000004</v>
      </c>
      <c r="N70" s="258">
        <f>M70*G70</f>
        <v>2603.5335298560003</v>
      </c>
      <c r="O70" s="252">
        <f>M70+D70</f>
        <v>247.608</v>
      </c>
      <c r="P70" s="320">
        <f t="shared" si="11"/>
        <v>8061.4211967360006</v>
      </c>
      <c r="Q70" s="334" t="str">
        <f t="shared" si="0"/>
        <v>ADITIVO</v>
      </c>
    </row>
    <row r="71" spans="1:17" s="69" customFormat="1" ht="15.75">
      <c r="A71" s="215" t="s">
        <v>239</v>
      </c>
      <c r="B71" s="215"/>
      <c r="C71" s="219" t="s">
        <v>212</v>
      </c>
      <c r="D71" s="224"/>
      <c r="E71" s="215"/>
      <c r="F71" s="215"/>
      <c r="G71" s="318"/>
      <c r="H71" s="280">
        <f>SUM(H72)</f>
        <v>2145.0966618400003</v>
      </c>
      <c r="I71" s="227"/>
      <c r="J71" s="280">
        <v>2145.0966618400003</v>
      </c>
      <c r="K71" s="215"/>
      <c r="L71" s="226">
        <f>SUM(L72)</f>
        <v>0</v>
      </c>
      <c r="M71" s="215"/>
      <c r="N71" s="227">
        <f>SUM(N72)</f>
        <v>0</v>
      </c>
      <c r="O71" s="215"/>
      <c r="P71" s="321">
        <f>SUM(P72)</f>
        <v>2145.0966618400003</v>
      </c>
      <c r="Q71" s="334"/>
    </row>
    <row r="72" spans="1:17" s="81" customFormat="1" ht="43.5" customHeight="1">
      <c r="A72" s="244" t="s">
        <v>240</v>
      </c>
      <c r="B72" s="249">
        <v>96116</v>
      </c>
      <c r="C72" s="255" t="s">
        <v>213</v>
      </c>
      <c r="D72" s="261">
        <v>55.22</v>
      </c>
      <c r="E72" s="262" t="s">
        <v>300</v>
      </c>
      <c r="F72" s="245"/>
      <c r="G72" s="253">
        <v>38.846372000000002</v>
      </c>
      <c r="H72" s="250">
        <v>2145.0966618400003</v>
      </c>
      <c r="I72" s="264">
        <v>0</v>
      </c>
      <c r="J72" s="264">
        <v>2145.0966618400003</v>
      </c>
      <c r="K72" s="245"/>
      <c r="L72" s="251"/>
      <c r="M72" s="245"/>
      <c r="N72" s="251"/>
      <c r="O72" s="252">
        <f>M72+D72</f>
        <v>55.22</v>
      </c>
      <c r="P72" s="320">
        <f t="shared" si="11"/>
        <v>2145.0966618400003</v>
      </c>
      <c r="Q72" s="334" t="str">
        <f t="shared" si="0"/>
        <v>-</v>
      </c>
    </row>
    <row r="73" spans="1:17" s="69" customFormat="1" ht="15.75">
      <c r="A73" s="215" t="s">
        <v>241</v>
      </c>
      <c r="B73" s="215"/>
      <c r="C73" s="219" t="s">
        <v>214</v>
      </c>
      <c r="D73" s="224"/>
      <c r="E73" s="215"/>
      <c r="F73" s="215"/>
      <c r="G73" s="318"/>
      <c r="H73" s="280">
        <f>SUM(H74:H77)</f>
        <v>118967.59729972802</v>
      </c>
      <c r="I73" s="227"/>
      <c r="J73" s="280">
        <v>118967.59729972802</v>
      </c>
      <c r="K73" s="215"/>
      <c r="L73" s="226">
        <f>SUM(L74:L77)</f>
        <v>0</v>
      </c>
      <c r="M73" s="215"/>
      <c r="N73" s="227">
        <f>SUM(N74:N78)</f>
        <v>43517.1150405839</v>
      </c>
      <c r="O73" s="215"/>
      <c r="P73" s="321">
        <f>SUM(P74:P78)</f>
        <v>162484.7123403119</v>
      </c>
      <c r="Q73" s="334"/>
    </row>
    <row r="74" spans="1:17" s="81" customFormat="1" ht="81" customHeight="1">
      <c r="A74" s="244" t="s">
        <v>242</v>
      </c>
      <c r="B74" s="254">
        <v>94991</v>
      </c>
      <c r="C74" s="255" t="s">
        <v>215</v>
      </c>
      <c r="D74" s="261">
        <v>58.51</v>
      </c>
      <c r="E74" s="262" t="s">
        <v>73</v>
      </c>
      <c r="F74" s="245"/>
      <c r="G74" s="253">
        <v>85.838148000000018</v>
      </c>
      <c r="H74" s="250">
        <v>5022.3900394800012</v>
      </c>
      <c r="I74" s="264">
        <v>0</v>
      </c>
      <c r="J74" s="264">
        <v>5022.3900394800012</v>
      </c>
      <c r="K74" s="245"/>
      <c r="L74" s="251"/>
      <c r="M74" s="256"/>
      <c r="N74" s="258"/>
      <c r="O74" s="252">
        <f>M74+D74</f>
        <v>58.51</v>
      </c>
      <c r="P74" s="320">
        <f t="shared" si="11"/>
        <v>5022.3900394800012</v>
      </c>
      <c r="Q74" s="334" t="str">
        <f t="shared" si="0"/>
        <v>-</v>
      </c>
    </row>
    <row r="75" spans="1:17" s="81" customFormat="1" ht="55.5" customHeight="1">
      <c r="A75" s="244" t="s">
        <v>394</v>
      </c>
      <c r="B75" s="249" t="s">
        <v>258</v>
      </c>
      <c r="C75" s="286" t="s">
        <v>216</v>
      </c>
      <c r="D75" s="261">
        <v>261.89999999999998</v>
      </c>
      <c r="E75" s="262" t="s">
        <v>300</v>
      </c>
      <c r="F75" s="245"/>
      <c r="G75" s="253">
        <v>75.965478720000007</v>
      </c>
      <c r="H75" s="250">
        <v>19895.358876768001</v>
      </c>
      <c r="I75" s="264">
        <v>0</v>
      </c>
      <c r="J75" s="264">
        <v>19895.358876768001</v>
      </c>
      <c r="K75" s="245"/>
      <c r="L75" s="251"/>
      <c r="M75" s="256">
        <v>40</v>
      </c>
      <c r="N75" s="258">
        <f>M75*G75</f>
        <v>3038.6191488000004</v>
      </c>
      <c r="O75" s="252">
        <f>M75+D75</f>
        <v>301.89999999999998</v>
      </c>
      <c r="P75" s="320">
        <f t="shared" si="11"/>
        <v>22933.978025568002</v>
      </c>
      <c r="Q75" s="334" t="str">
        <f t="shared" si="0"/>
        <v>ADITIVO</v>
      </c>
    </row>
    <row r="76" spans="1:17" s="81" customFormat="1" ht="66.75" customHeight="1">
      <c r="A76" s="244" t="s">
        <v>395</v>
      </c>
      <c r="B76" s="249">
        <v>98679</v>
      </c>
      <c r="C76" s="255" t="s">
        <v>217</v>
      </c>
      <c r="D76" s="261">
        <v>3382.27</v>
      </c>
      <c r="E76" s="262" t="s">
        <v>300</v>
      </c>
      <c r="F76" s="245"/>
      <c r="G76" s="253">
        <v>27.806724000000003</v>
      </c>
      <c r="H76" s="250">
        <v>94049.848383480014</v>
      </c>
      <c r="I76" s="264">
        <v>0</v>
      </c>
      <c r="J76" s="264">
        <v>94049.848383480014</v>
      </c>
      <c r="K76" s="246"/>
      <c r="L76" s="247"/>
      <c r="M76" s="256"/>
      <c r="N76" s="258"/>
      <c r="O76" s="252">
        <f>M76+D76</f>
        <v>3382.27</v>
      </c>
      <c r="P76" s="320">
        <f t="shared" si="11"/>
        <v>94049.848383480014</v>
      </c>
      <c r="Q76" s="334" t="str">
        <f t="shared" si="0"/>
        <v>-</v>
      </c>
    </row>
    <row r="77" spans="1:17" s="81" customFormat="1" ht="81" customHeight="1">
      <c r="A77" s="244" t="s">
        <v>396</v>
      </c>
      <c r="B77" s="254">
        <v>94993</v>
      </c>
      <c r="C77" s="285" t="s">
        <v>333</v>
      </c>
      <c r="D77" s="261"/>
      <c r="E77" s="262" t="s">
        <v>300</v>
      </c>
      <c r="F77" s="245"/>
      <c r="G77" s="253">
        <f>(52.04*$E$129)-((52.04*$E$129)*$D$134)</f>
        <v>48.277649017322041</v>
      </c>
      <c r="H77" s="250">
        <f t="shared" ref="H77" si="12">D77*G77</f>
        <v>0</v>
      </c>
      <c r="I77" s="264">
        <v>0</v>
      </c>
      <c r="J77" s="264">
        <v>0</v>
      </c>
      <c r="K77" s="245"/>
      <c r="L77" s="251"/>
      <c r="M77" s="256">
        <f>15.5*32.55</f>
        <v>504.52499999999998</v>
      </c>
      <c r="N77" s="258">
        <f>M77*G77</f>
        <v>24357.280870464401</v>
      </c>
      <c r="O77" s="252">
        <f>M77+D77</f>
        <v>504.52499999999998</v>
      </c>
      <c r="P77" s="320">
        <f t="shared" si="11"/>
        <v>24357.280870464401</v>
      </c>
      <c r="Q77" s="334" t="str">
        <f t="shared" si="0"/>
        <v>ADITIVO</v>
      </c>
    </row>
    <row r="78" spans="1:17" s="81" customFormat="1" ht="81" customHeight="1">
      <c r="A78" s="244" t="s">
        <v>397</v>
      </c>
      <c r="B78" s="254">
        <v>94990</v>
      </c>
      <c r="C78" s="285" t="s">
        <v>348</v>
      </c>
      <c r="D78" s="261"/>
      <c r="E78" s="262" t="s">
        <v>73</v>
      </c>
      <c r="F78" s="245"/>
      <c r="G78" s="253">
        <f>(550.01*$E$129)-((550.01*$E$129)*$D$134)</f>
        <v>510.24576741001727</v>
      </c>
      <c r="H78" s="250">
        <f t="shared" ref="H78" si="13">D78*G78</f>
        <v>0</v>
      </c>
      <c r="I78" s="264">
        <v>0</v>
      </c>
      <c r="J78" s="264">
        <v>0</v>
      </c>
      <c r="K78" s="245"/>
      <c r="L78" s="251"/>
      <c r="M78" s="256">
        <f>(35.19*5*0.1)+(17.5*8*0.1)</f>
        <v>31.594999999999999</v>
      </c>
      <c r="N78" s="258">
        <f>M78*G78</f>
        <v>16121.215021319495</v>
      </c>
      <c r="O78" s="252">
        <f>M78+D78</f>
        <v>31.594999999999999</v>
      </c>
      <c r="P78" s="320">
        <f t="shared" si="11"/>
        <v>16121.215021319495</v>
      </c>
      <c r="Q78" s="334" t="str">
        <f t="shared" si="0"/>
        <v>ADITIVO</v>
      </c>
    </row>
    <row r="79" spans="1:17" s="69" customFormat="1" ht="15.75">
      <c r="A79" s="215" t="s">
        <v>243</v>
      </c>
      <c r="B79" s="215"/>
      <c r="C79" s="219" t="s">
        <v>218</v>
      </c>
      <c r="D79" s="224"/>
      <c r="E79" s="215"/>
      <c r="F79" s="215"/>
      <c r="G79" s="318"/>
      <c r="H79" s="280">
        <f>SUM(H80:H83)</f>
        <v>54132.009669400002</v>
      </c>
      <c r="I79" s="227"/>
      <c r="J79" s="280">
        <v>54132.009669400002</v>
      </c>
      <c r="K79" s="215"/>
      <c r="L79" s="226">
        <f>SUM(L80:L83)</f>
        <v>0</v>
      </c>
      <c r="M79" s="215"/>
      <c r="N79" s="227">
        <f>SUM(N80:N83)</f>
        <v>2573.9232400000001</v>
      </c>
      <c r="O79" s="215"/>
      <c r="P79" s="321">
        <f>SUM(P80:P83)</f>
        <v>56705.932909400006</v>
      </c>
      <c r="Q79" s="334"/>
    </row>
    <row r="80" spans="1:17" s="69" customFormat="1" ht="70.5" customHeight="1">
      <c r="A80" s="244" t="s">
        <v>244</v>
      </c>
      <c r="B80" s="249">
        <v>92258</v>
      </c>
      <c r="C80" s="255" t="s">
        <v>219</v>
      </c>
      <c r="D80" s="261">
        <v>7</v>
      </c>
      <c r="E80" s="262" t="s">
        <v>314</v>
      </c>
      <c r="F80" s="245"/>
      <c r="G80" s="253">
        <v>245.88862</v>
      </c>
      <c r="H80" s="250">
        <v>1721.2203400000001</v>
      </c>
      <c r="I80" s="264">
        <v>7</v>
      </c>
      <c r="J80" s="264">
        <v>1721.2203400000001</v>
      </c>
      <c r="K80" s="245"/>
      <c r="L80" s="251"/>
      <c r="M80" s="245"/>
      <c r="N80" s="251"/>
      <c r="O80" s="252">
        <f>M80+D80</f>
        <v>7</v>
      </c>
      <c r="P80" s="320">
        <f t="shared" si="11"/>
        <v>1721.2203400000001</v>
      </c>
      <c r="Q80" s="334" t="str">
        <f t="shared" si="0"/>
        <v>-</v>
      </c>
    </row>
    <row r="81" spans="1:17" s="69" customFormat="1" ht="81.75" customHeight="1">
      <c r="A81" s="244" t="s">
        <v>245</v>
      </c>
      <c r="B81" s="249">
        <v>92580</v>
      </c>
      <c r="C81" s="286" t="s">
        <v>220</v>
      </c>
      <c r="D81" s="261">
        <v>498.37</v>
      </c>
      <c r="E81" s="262" t="s">
        <v>300</v>
      </c>
      <c r="F81" s="245"/>
      <c r="G81" s="253">
        <v>33.424244000000002</v>
      </c>
      <c r="H81" s="250">
        <v>16657.64048228</v>
      </c>
      <c r="I81" s="264">
        <v>498.36999999999995</v>
      </c>
      <c r="J81" s="264">
        <v>16657.64048228</v>
      </c>
      <c r="K81" s="245"/>
      <c r="L81" s="251"/>
      <c r="M81" s="256">
        <v>35</v>
      </c>
      <c r="N81" s="258">
        <f>M81*G81</f>
        <v>1169.84854</v>
      </c>
      <c r="O81" s="252">
        <f>M81+D81</f>
        <v>533.37</v>
      </c>
      <c r="P81" s="320">
        <f t="shared" si="11"/>
        <v>17827.489022280002</v>
      </c>
      <c r="Q81" s="334" t="str">
        <f t="shared" si="0"/>
        <v>ADITIVO</v>
      </c>
    </row>
    <row r="82" spans="1:17" s="69" customFormat="1" ht="49.5" customHeight="1">
      <c r="A82" s="244" t="s">
        <v>246</v>
      </c>
      <c r="B82" s="249">
        <v>94213</v>
      </c>
      <c r="C82" s="286" t="s">
        <v>221</v>
      </c>
      <c r="D82" s="261">
        <v>656.83600000000001</v>
      </c>
      <c r="E82" s="262" t="s">
        <v>300</v>
      </c>
      <c r="F82" s="245"/>
      <c r="G82" s="253">
        <v>40.116420000000005</v>
      </c>
      <c r="H82" s="250">
        <v>26349.908847120005</v>
      </c>
      <c r="I82" s="264">
        <v>656.83600000000001</v>
      </c>
      <c r="J82" s="264">
        <v>26349.908847120005</v>
      </c>
      <c r="K82" s="246"/>
      <c r="L82" s="247"/>
      <c r="M82" s="256">
        <v>35</v>
      </c>
      <c r="N82" s="258">
        <f>M82*G82</f>
        <v>1404.0747000000001</v>
      </c>
      <c r="O82" s="252">
        <f>M82+D82</f>
        <v>691.83600000000001</v>
      </c>
      <c r="P82" s="320">
        <f t="shared" si="11"/>
        <v>27753.983547120006</v>
      </c>
      <c r="Q82" s="334" t="str">
        <f t="shared" si="0"/>
        <v>ADITIVO</v>
      </c>
    </row>
    <row r="83" spans="1:17" s="69" customFormat="1" ht="28.5" customHeight="1">
      <c r="A83" s="244" t="s">
        <v>332</v>
      </c>
      <c r="B83" s="249" t="s">
        <v>259</v>
      </c>
      <c r="C83" s="255" t="s">
        <v>222</v>
      </c>
      <c r="D83" s="261">
        <v>1232</v>
      </c>
      <c r="E83" s="262" t="s">
        <v>263</v>
      </c>
      <c r="F83" s="245"/>
      <c r="G83" s="253">
        <v>7.6325000000000003</v>
      </c>
      <c r="H83" s="250">
        <v>9403.24</v>
      </c>
      <c r="I83" s="264">
        <v>1232</v>
      </c>
      <c r="J83" s="264">
        <v>9403.24</v>
      </c>
      <c r="K83" s="246"/>
      <c r="L83" s="247"/>
      <c r="M83" s="247"/>
      <c r="N83" s="258"/>
      <c r="O83" s="252">
        <f>M83+D83</f>
        <v>1232</v>
      </c>
      <c r="P83" s="320">
        <f t="shared" si="11"/>
        <v>9403.24</v>
      </c>
      <c r="Q83" s="334" t="str">
        <f t="shared" si="0"/>
        <v>-</v>
      </c>
    </row>
    <row r="84" spans="1:17" s="69" customFormat="1" ht="15.75">
      <c r="A84" s="215" t="s">
        <v>247</v>
      </c>
      <c r="B84" s="215"/>
      <c r="C84" s="219" t="s">
        <v>223</v>
      </c>
      <c r="D84" s="224"/>
      <c r="E84" s="215"/>
      <c r="F84" s="215"/>
      <c r="G84" s="318"/>
      <c r="H84" s="280">
        <f>SUM(H85:H86)</f>
        <v>27812.536912000007</v>
      </c>
      <c r="I84" s="227"/>
      <c r="J84" s="280">
        <v>27812.536912000007</v>
      </c>
      <c r="K84" s="215"/>
      <c r="L84" s="226">
        <f>SUM(L85:L86)</f>
        <v>0</v>
      </c>
      <c r="M84" s="215"/>
      <c r="N84" s="227">
        <f>SUM(N85:N88)</f>
        <v>3825.9101860386236</v>
      </c>
      <c r="O84" s="215"/>
      <c r="P84" s="321">
        <f>SUM(P85:P88)</f>
        <v>31638.447098038625</v>
      </c>
      <c r="Q84" s="334"/>
    </row>
    <row r="85" spans="1:17" s="69" customFormat="1" ht="44.25" customHeight="1">
      <c r="A85" s="244" t="s">
        <v>248</v>
      </c>
      <c r="B85" s="249" t="s">
        <v>52</v>
      </c>
      <c r="C85" s="255" t="s">
        <v>224</v>
      </c>
      <c r="D85" s="261">
        <v>124</v>
      </c>
      <c r="E85" s="262" t="s">
        <v>262</v>
      </c>
      <c r="F85" s="245"/>
      <c r="G85" s="253">
        <v>209.11828800000004</v>
      </c>
      <c r="H85" s="250">
        <v>25930.667712000006</v>
      </c>
      <c r="I85" s="264">
        <v>0</v>
      </c>
      <c r="J85" s="264">
        <v>25930.667712000006</v>
      </c>
      <c r="K85" s="245"/>
      <c r="L85" s="251"/>
      <c r="M85" s="245"/>
      <c r="N85" s="251"/>
      <c r="O85" s="252">
        <f>M85+D85</f>
        <v>124</v>
      </c>
      <c r="P85" s="320">
        <f t="shared" si="11"/>
        <v>25930.667712000006</v>
      </c>
      <c r="Q85" s="334" t="str">
        <f t="shared" ref="Q85:Q92" si="14">IF(H85=P85,"-","ADITIVO")</f>
        <v>-</v>
      </c>
    </row>
    <row r="86" spans="1:17" s="69" customFormat="1" ht="64.5" customHeight="1">
      <c r="A86" s="244" t="s">
        <v>249</v>
      </c>
      <c r="B86" s="254">
        <v>94227</v>
      </c>
      <c r="C86" s="286" t="s">
        <v>225</v>
      </c>
      <c r="D86" s="261">
        <v>50</v>
      </c>
      <c r="E86" s="262" t="s">
        <v>262</v>
      </c>
      <c r="F86" s="257"/>
      <c r="G86" s="253">
        <v>37.637384000000004</v>
      </c>
      <c r="H86" s="250">
        <v>1881.8692000000003</v>
      </c>
      <c r="I86" s="264">
        <v>0</v>
      </c>
      <c r="J86" s="264">
        <v>1881.8692000000003</v>
      </c>
      <c r="K86" s="257"/>
      <c r="L86" s="258"/>
      <c r="M86" s="256">
        <v>75</v>
      </c>
      <c r="N86" s="258">
        <f>M86*G86</f>
        <v>2822.8038000000001</v>
      </c>
      <c r="O86" s="252">
        <f>M86+D86</f>
        <v>125</v>
      </c>
      <c r="P86" s="320">
        <f t="shared" si="11"/>
        <v>4704.6730000000007</v>
      </c>
      <c r="Q86" s="334" t="str">
        <f t="shared" si="14"/>
        <v>ADITIVO</v>
      </c>
    </row>
    <row r="87" spans="1:17" s="69" customFormat="1" ht="64.5" customHeight="1">
      <c r="A87" s="244" t="s">
        <v>250</v>
      </c>
      <c r="B87" s="254">
        <v>36365</v>
      </c>
      <c r="C87" s="285" t="s">
        <v>349</v>
      </c>
      <c r="D87" s="261"/>
      <c r="E87" s="262" t="s">
        <v>262</v>
      </c>
      <c r="F87" s="257"/>
      <c r="G87" s="253">
        <f>(17.49*$E$129)-((17.49*$E$129)*$D$134)</f>
        <v>16.225520394176833</v>
      </c>
      <c r="H87" s="250"/>
      <c r="I87" s="264"/>
      <c r="J87" s="264"/>
      <c r="K87" s="257"/>
      <c r="L87" s="258"/>
      <c r="M87" s="256">
        <v>32</v>
      </c>
      <c r="N87" s="258">
        <f>M87*G87</f>
        <v>519.21665261365865</v>
      </c>
      <c r="O87" s="252">
        <f>M87+D87</f>
        <v>32</v>
      </c>
      <c r="P87" s="320">
        <f t="shared" si="11"/>
        <v>519.21665261365865</v>
      </c>
      <c r="Q87" s="334" t="str">
        <f t="shared" si="14"/>
        <v>ADITIVO</v>
      </c>
    </row>
    <row r="88" spans="1:17" s="69" customFormat="1" ht="64.5" customHeight="1">
      <c r="A88" s="244" t="s">
        <v>261</v>
      </c>
      <c r="B88" s="254">
        <v>38423</v>
      </c>
      <c r="C88" s="285" t="s">
        <v>350</v>
      </c>
      <c r="D88" s="261"/>
      <c r="E88" s="262" t="s">
        <v>314</v>
      </c>
      <c r="F88" s="257"/>
      <c r="G88" s="253">
        <f>(32.6*$E$129)-((32.6*$E$129)*$D$134)</f>
        <v>30.24310833906031</v>
      </c>
      <c r="H88" s="250"/>
      <c r="I88" s="264"/>
      <c r="J88" s="264"/>
      <c r="K88" s="257"/>
      <c r="L88" s="258"/>
      <c r="M88" s="256">
        <v>16</v>
      </c>
      <c r="N88" s="258">
        <f>M88*G88</f>
        <v>483.88973342496496</v>
      </c>
      <c r="O88" s="252">
        <f>M88+D88</f>
        <v>16</v>
      </c>
      <c r="P88" s="320">
        <f t="shared" si="11"/>
        <v>483.88973342496496</v>
      </c>
      <c r="Q88" s="334" t="str">
        <f t="shared" si="14"/>
        <v>ADITIVO</v>
      </c>
    </row>
    <row r="89" spans="1:17" s="69" customFormat="1" ht="15.75">
      <c r="A89" s="215" t="s">
        <v>251</v>
      </c>
      <c r="B89" s="215"/>
      <c r="C89" s="219" t="s">
        <v>226</v>
      </c>
      <c r="D89" s="224"/>
      <c r="E89" s="215"/>
      <c r="F89" s="215"/>
      <c r="G89" s="318"/>
      <c r="H89" s="280">
        <f>SUM(H90)</f>
        <v>15073.778153759999</v>
      </c>
      <c r="I89" s="227"/>
      <c r="J89" s="280">
        <v>15073.778153759999</v>
      </c>
      <c r="K89" s="215"/>
      <c r="L89" s="226">
        <f>SUM(L90)</f>
        <v>0</v>
      </c>
      <c r="M89" s="215"/>
      <c r="N89" s="227">
        <f>SUM(N90)</f>
        <v>0</v>
      </c>
      <c r="O89" s="215"/>
      <c r="P89" s="321">
        <f>SUM(P90)</f>
        <v>15073.778153759999</v>
      </c>
      <c r="Q89" s="334" t="str">
        <f t="shared" si="14"/>
        <v>-</v>
      </c>
    </row>
    <row r="90" spans="1:17" s="69" customFormat="1" ht="102.75" customHeight="1">
      <c r="A90" s="244" t="s">
        <v>252</v>
      </c>
      <c r="B90" s="249" t="s">
        <v>260</v>
      </c>
      <c r="C90" s="255" t="s">
        <v>227</v>
      </c>
      <c r="D90" s="261">
        <v>23.08</v>
      </c>
      <c r="E90" s="262" t="s">
        <v>300</v>
      </c>
      <c r="F90" s="245"/>
      <c r="G90" s="253">
        <v>653.10997199999997</v>
      </c>
      <c r="H90" s="250">
        <v>15073.778153759999</v>
      </c>
      <c r="I90" s="264">
        <v>0</v>
      </c>
      <c r="J90" s="264">
        <v>15073.778153759999</v>
      </c>
      <c r="K90" s="245"/>
      <c r="L90" s="251"/>
      <c r="M90" s="245"/>
      <c r="N90" s="251"/>
      <c r="O90" s="252">
        <f>M90+D90</f>
        <v>23.08</v>
      </c>
      <c r="P90" s="320">
        <f t="shared" si="11"/>
        <v>15073.778153759999</v>
      </c>
      <c r="Q90" s="334" t="str">
        <f t="shared" si="14"/>
        <v>-</v>
      </c>
    </row>
    <row r="91" spans="1:17" s="69" customFormat="1" ht="15.75">
      <c r="A91" s="215" t="s">
        <v>253</v>
      </c>
      <c r="B91" s="215"/>
      <c r="C91" s="219" t="s">
        <v>228</v>
      </c>
      <c r="D91" s="224"/>
      <c r="E91" s="215"/>
      <c r="F91" s="215"/>
      <c r="G91" s="318"/>
      <c r="H91" s="280">
        <f>SUM(H92)</f>
        <v>592.67424944000004</v>
      </c>
      <c r="I91" s="227"/>
      <c r="J91" s="280">
        <v>592.67424944000004</v>
      </c>
      <c r="K91" s="215"/>
      <c r="L91" s="226">
        <f>SUM(L92)</f>
        <v>0</v>
      </c>
      <c r="M91" s="215"/>
      <c r="N91" s="227">
        <f>SUM(N92)</f>
        <v>0</v>
      </c>
      <c r="O91" s="215"/>
      <c r="P91" s="321">
        <f>SUM(P92)</f>
        <v>592.67424944000004</v>
      </c>
      <c r="Q91" s="334" t="str">
        <f t="shared" si="14"/>
        <v>-</v>
      </c>
    </row>
    <row r="92" spans="1:17" s="69" customFormat="1" ht="30" customHeight="1">
      <c r="A92" s="244" t="s">
        <v>254</v>
      </c>
      <c r="B92" s="249">
        <v>85180</v>
      </c>
      <c r="C92" s="255" t="s">
        <v>229</v>
      </c>
      <c r="D92" s="261">
        <v>51.74</v>
      </c>
      <c r="E92" s="262" t="s">
        <v>300</v>
      </c>
      <c r="F92" s="245"/>
      <c r="G92" s="253">
        <v>11.454856000000001</v>
      </c>
      <c r="H92" s="250">
        <v>592.67424944000004</v>
      </c>
      <c r="I92" s="264">
        <v>0</v>
      </c>
      <c r="J92" s="264">
        <v>592.67424944000004</v>
      </c>
      <c r="K92" s="245"/>
      <c r="L92" s="251"/>
      <c r="M92" s="245"/>
      <c r="N92" s="251"/>
      <c r="O92" s="252">
        <f>M92+D92</f>
        <v>51.74</v>
      </c>
      <c r="P92" s="320">
        <f t="shared" si="11"/>
        <v>592.67424944000004</v>
      </c>
      <c r="Q92" s="334" t="str">
        <f t="shared" si="14"/>
        <v>-</v>
      </c>
    </row>
    <row r="93" spans="1:17" s="228" customFormat="1" ht="18.75" customHeight="1">
      <c r="A93" s="259"/>
      <c r="B93" s="267"/>
      <c r="C93" s="268"/>
      <c r="D93" s="268"/>
      <c r="E93" s="268"/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9"/>
    </row>
    <row r="94" spans="1:17" s="86" customFormat="1" ht="39" customHeight="1">
      <c r="A94" s="555"/>
      <c r="B94" s="556"/>
      <c r="C94" s="556"/>
      <c r="D94" s="556"/>
      <c r="E94" s="556"/>
      <c r="F94" s="556"/>
      <c r="G94" s="557"/>
      <c r="H94" s="83">
        <f>SUM(H19,H22,H24,H26,H35,H53,H60,H64,H67,H71,H73,H79,H84,H89,H91)+0.02</f>
        <v>300389.76557586406</v>
      </c>
      <c r="I94" s="248"/>
      <c r="J94" s="83">
        <f>SUM(J19,J22,J24,J26,J35,J53,J60,J64,J67,J71,J73,J79,J84,J89,J91)+0.02</f>
        <v>300389.76557586406</v>
      </c>
      <c r="K94" s="230"/>
      <c r="L94" s="89">
        <f>SUM(L19,L22,L24,L26,L35,L53,L60,L64,L67,L71,L73,L79,L84,L89,L91)</f>
        <v>0</v>
      </c>
      <c r="M94" s="231"/>
      <c r="N94" s="88">
        <f>SUM(N19,N22,N24,N26,N35,N53,N60,N64,N67,N71,N73,N79,N84,N89,N91)</f>
        <v>113781.97842564284</v>
      </c>
      <c r="O94" s="230"/>
      <c r="P94" s="83">
        <f>SUM(P19,P22,P24,P26,P35,P53,P60,P64,P67,P71,P73,P79,P84,P89,P91)</f>
        <v>414171.72400150693</v>
      </c>
      <c r="Q94" s="341">
        <f>SUM(Q20:Q92)</f>
        <v>0</v>
      </c>
    </row>
    <row r="95" spans="1:17" ht="39" customHeight="1">
      <c r="A95" s="558"/>
      <c r="B95" s="559"/>
      <c r="C95" s="559"/>
      <c r="D95" s="559"/>
      <c r="E95" s="559"/>
      <c r="F95" s="559"/>
      <c r="G95" s="559"/>
      <c r="H95" s="559"/>
      <c r="I95" s="559"/>
      <c r="J95" s="559"/>
      <c r="K95" s="559"/>
      <c r="L95" s="559"/>
      <c r="M95" s="559"/>
      <c r="N95" s="559"/>
      <c r="O95" s="559"/>
      <c r="P95" s="559"/>
      <c r="Q95" s="342"/>
    </row>
    <row r="96" spans="1:17" s="13" customFormat="1" ht="26.25" customHeight="1">
      <c r="A96" s="558"/>
      <c r="B96" s="559"/>
      <c r="C96" s="559"/>
      <c r="D96" s="559"/>
      <c r="E96" s="559"/>
      <c r="F96" s="559"/>
      <c r="G96" s="559"/>
      <c r="H96" s="559"/>
      <c r="I96" s="559"/>
      <c r="J96" s="559"/>
      <c r="K96" s="560"/>
      <c r="L96" s="561" t="s">
        <v>108</v>
      </c>
      <c r="M96" s="562"/>
      <c r="N96" s="563"/>
      <c r="O96" s="83">
        <f>H94</f>
        <v>300389.76557586406</v>
      </c>
      <c r="P96" s="84">
        <v>1</v>
      </c>
      <c r="Q96" s="340">
        <f>O96+O97</f>
        <v>414171.74400150689</v>
      </c>
    </row>
    <row r="97" spans="1:17" s="58" customFormat="1" ht="28.5" customHeight="1">
      <c r="A97" s="558"/>
      <c r="B97" s="559"/>
      <c r="C97" s="559"/>
      <c r="D97" s="559"/>
      <c r="E97" s="559"/>
      <c r="F97" s="559"/>
      <c r="G97" s="559"/>
      <c r="H97" s="559"/>
      <c r="I97" s="559"/>
      <c r="J97" s="559"/>
      <c r="K97" s="560"/>
      <c r="L97" s="502" t="s">
        <v>42</v>
      </c>
      <c r="M97" s="503"/>
      <c r="N97" s="504"/>
      <c r="O97" s="88">
        <f>N94</f>
        <v>113781.97842564284</v>
      </c>
      <c r="P97" s="276">
        <f>O97/O96</f>
        <v>0.37878114191912093</v>
      </c>
      <c r="Q97" s="343">
        <f>Q96-G102</f>
        <v>1.9999999960418791E-2</v>
      </c>
    </row>
    <row r="98" spans="1:17" s="58" customFormat="1" ht="28.5" customHeight="1">
      <c r="A98" s="558"/>
      <c r="B98" s="559"/>
      <c r="C98" s="559"/>
      <c r="D98" s="559"/>
      <c r="E98" s="559"/>
      <c r="F98" s="559"/>
      <c r="G98" s="559"/>
      <c r="H98" s="559"/>
      <c r="I98" s="559"/>
      <c r="J98" s="559"/>
      <c r="K98" s="560"/>
      <c r="L98" s="505" t="s">
        <v>41</v>
      </c>
      <c r="M98" s="506"/>
      <c r="N98" s="507"/>
      <c r="O98" s="89">
        <f>L94</f>
        <v>0</v>
      </c>
      <c r="P98" s="90">
        <f>O98/O96</f>
        <v>0</v>
      </c>
    </row>
    <row r="99" spans="1:17" s="58" customFormat="1" ht="46.5" customHeight="1">
      <c r="A99" s="558"/>
      <c r="B99" s="559"/>
      <c r="C99" s="559"/>
      <c r="D99" s="559"/>
      <c r="E99" s="559"/>
      <c r="F99" s="559"/>
      <c r="G99" s="559"/>
      <c r="H99" s="559"/>
      <c r="I99" s="559"/>
      <c r="J99" s="559"/>
      <c r="K99" s="560"/>
      <c r="L99" s="549" t="s">
        <v>109</v>
      </c>
      <c r="M99" s="550"/>
      <c r="N99" s="551"/>
      <c r="O99" s="283">
        <f>P94</f>
        <v>414171.72400150693</v>
      </c>
      <c r="P99" s="284">
        <f>O99/O96</f>
        <v>1.3787810753389567</v>
      </c>
      <c r="Q99" s="344">
        <f>Q96-Q94</f>
        <v>414171.74400150689</v>
      </c>
    </row>
    <row r="100" spans="1:17" ht="8.25" customHeight="1">
      <c r="A100" s="300"/>
      <c r="B100" s="552"/>
      <c r="C100" s="552"/>
      <c r="D100" s="552"/>
      <c r="E100" s="552"/>
      <c r="F100" s="552"/>
      <c r="G100" s="552"/>
      <c r="H100" s="552"/>
      <c r="I100" s="552"/>
      <c r="J100" s="552"/>
      <c r="K100" s="552"/>
      <c r="L100" s="552"/>
      <c r="M100" s="552"/>
      <c r="N100" s="552"/>
      <c r="O100" s="552"/>
      <c r="P100" s="552"/>
    </row>
    <row r="101" spans="1:17" s="13" customFormat="1" ht="8.25" customHeight="1">
      <c r="A101" s="564"/>
      <c r="B101" s="567"/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8"/>
    </row>
    <row r="102" spans="1:17" s="13" customFormat="1" ht="41.25" customHeight="1">
      <c r="A102" s="565"/>
      <c r="B102" s="569" t="s">
        <v>272</v>
      </c>
      <c r="C102" s="570"/>
      <c r="D102" s="570"/>
      <c r="E102" s="571"/>
      <c r="F102" s="260"/>
      <c r="G102" s="517">
        <f>O99</f>
        <v>414171.72400150693</v>
      </c>
      <c r="H102" s="518"/>
      <c r="I102" s="518"/>
      <c r="J102" s="518"/>
      <c r="K102" s="518"/>
      <c r="L102" s="518"/>
      <c r="M102" s="518"/>
      <c r="N102" s="518"/>
      <c r="O102" s="518"/>
      <c r="P102" s="519"/>
    </row>
    <row r="103" spans="1:17" s="13" customFormat="1" ht="8.25" customHeight="1">
      <c r="A103" s="566"/>
      <c r="B103" s="567"/>
      <c r="C103" s="567"/>
      <c r="D103" s="567"/>
      <c r="E103" s="567"/>
      <c r="F103" s="567"/>
      <c r="G103" s="567"/>
      <c r="H103" s="567"/>
      <c r="I103" s="567"/>
      <c r="J103" s="567"/>
      <c r="K103" s="567"/>
      <c r="L103" s="567"/>
      <c r="M103" s="567"/>
      <c r="N103" s="567"/>
      <c r="O103" s="567"/>
      <c r="P103" s="568"/>
    </row>
    <row r="104" spans="1:17" s="191" customFormat="1" ht="21" customHeight="1">
      <c r="A104" s="187"/>
      <c r="B104" s="188"/>
      <c r="C104" s="188"/>
      <c r="D104" s="189"/>
      <c r="E104" s="189"/>
      <c r="F104" s="189"/>
      <c r="G104" s="189"/>
      <c r="H104" s="189"/>
      <c r="I104" s="189"/>
      <c r="J104" s="189"/>
      <c r="K104" s="189"/>
      <c r="L104" s="188"/>
      <c r="M104" s="188"/>
      <c r="N104" s="188"/>
      <c r="O104" s="287"/>
      <c r="P104" s="190"/>
    </row>
    <row r="105" spans="1:17" s="13" customFormat="1" ht="27" customHeight="1">
      <c r="A105" s="524" t="s">
        <v>89</v>
      </c>
      <c r="B105" s="537" t="s">
        <v>105</v>
      </c>
      <c r="C105" s="538"/>
      <c r="D105" s="523" t="s">
        <v>104</v>
      </c>
      <c r="E105" s="523"/>
      <c r="F105" s="523"/>
      <c r="G105" s="523"/>
      <c r="H105" s="523"/>
      <c r="I105" s="523"/>
      <c r="J105" s="523"/>
      <c r="K105" s="523"/>
      <c r="L105" s="520" t="s">
        <v>103</v>
      </c>
      <c r="M105" s="520"/>
      <c r="N105" s="520"/>
      <c r="O105" s="520"/>
      <c r="P105" s="520"/>
    </row>
    <row r="106" spans="1:17" s="13" customFormat="1" ht="182.25" customHeight="1">
      <c r="A106" s="525"/>
      <c r="B106" s="539" t="s">
        <v>158</v>
      </c>
      <c r="C106" s="548"/>
      <c r="D106" s="514" t="s">
        <v>159</v>
      </c>
      <c r="E106" s="515"/>
      <c r="F106" s="515"/>
      <c r="G106" s="515"/>
      <c r="H106" s="515"/>
      <c r="I106" s="515"/>
      <c r="J106" s="515"/>
      <c r="K106" s="516"/>
      <c r="L106" s="521" t="s">
        <v>160</v>
      </c>
      <c r="M106" s="521"/>
      <c r="N106" s="521"/>
      <c r="O106" s="521"/>
      <c r="P106" s="522"/>
    </row>
    <row r="107" spans="1:17" s="13" customFormat="1" ht="27" customHeight="1">
      <c r="A107" s="525"/>
      <c r="B107" s="511" t="s">
        <v>269</v>
      </c>
      <c r="C107" s="512"/>
      <c r="D107" s="511" t="s">
        <v>266</v>
      </c>
      <c r="E107" s="512"/>
      <c r="F107" s="512"/>
      <c r="G107" s="512"/>
      <c r="H107" s="512"/>
      <c r="I107" s="512"/>
      <c r="J107" s="512"/>
      <c r="K107" s="513"/>
      <c r="L107" s="512" t="s">
        <v>264</v>
      </c>
      <c r="M107" s="512"/>
      <c r="N107" s="512"/>
      <c r="O107" s="512"/>
      <c r="P107" s="513"/>
    </row>
    <row r="108" spans="1:17" s="13" customFormat="1" ht="23.25" customHeight="1">
      <c r="A108" s="525"/>
      <c r="B108" s="511" t="s">
        <v>270</v>
      </c>
      <c r="C108" s="512"/>
      <c r="D108" s="511" t="s">
        <v>267</v>
      </c>
      <c r="E108" s="512"/>
      <c r="F108" s="512"/>
      <c r="G108" s="512"/>
      <c r="H108" s="512"/>
      <c r="I108" s="512"/>
      <c r="J108" s="512"/>
      <c r="K108" s="513"/>
      <c r="L108" s="512" t="s">
        <v>265</v>
      </c>
      <c r="M108" s="512"/>
      <c r="N108" s="512"/>
      <c r="O108" s="512"/>
      <c r="P108" s="513"/>
    </row>
    <row r="109" spans="1:17" s="13" customFormat="1" ht="27.75" customHeight="1">
      <c r="A109" s="525"/>
      <c r="B109" s="510" t="s">
        <v>271</v>
      </c>
      <c r="C109" s="508"/>
      <c r="D109" s="510" t="s">
        <v>268</v>
      </c>
      <c r="E109" s="508"/>
      <c r="F109" s="508"/>
      <c r="G109" s="508"/>
      <c r="H109" s="508"/>
      <c r="I109" s="508"/>
      <c r="J109" s="508"/>
      <c r="K109" s="509"/>
      <c r="L109" s="508" t="s">
        <v>99</v>
      </c>
      <c r="M109" s="508"/>
      <c r="N109" s="508"/>
      <c r="O109" s="508"/>
      <c r="P109" s="509"/>
    </row>
    <row r="110" spans="1:17" s="13" customFormat="1" ht="12" customHeight="1"/>
    <row r="111" spans="1:17" s="13" customFormat="1" ht="21">
      <c r="O111" s="335" t="s">
        <v>444</v>
      </c>
      <c r="P111" s="298">
        <v>414171.72</v>
      </c>
    </row>
    <row r="112" spans="1:17" s="13" customFormat="1" ht="2.25" customHeight="1">
      <c r="D112" s="13" t="s">
        <v>99</v>
      </c>
    </row>
    <row r="113" spans="1:16" s="13" customFormat="1" ht="15.75" hidden="1">
      <c r="A113" s="524" t="s">
        <v>89</v>
      </c>
      <c r="B113" s="537" t="s">
        <v>90</v>
      </c>
      <c r="C113" s="538"/>
      <c r="D113" s="537" t="s">
        <v>91</v>
      </c>
      <c r="E113" s="538"/>
      <c r="F113" s="538"/>
      <c r="G113" s="538"/>
      <c r="H113" s="538"/>
      <c r="I113" s="538"/>
      <c r="J113" s="538"/>
      <c r="K113" s="538"/>
      <c r="L113" s="538"/>
      <c r="M113" s="520" t="s">
        <v>92</v>
      </c>
      <c r="N113" s="520"/>
      <c r="O113" s="520"/>
      <c r="P113" s="520"/>
    </row>
    <row r="114" spans="1:16" s="13" customFormat="1" ht="64.5" hidden="1" customHeight="1">
      <c r="A114" s="525"/>
      <c r="B114" s="539" t="s">
        <v>93</v>
      </c>
      <c r="C114" s="540"/>
      <c r="D114" s="541" t="s">
        <v>94</v>
      </c>
      <c r="E114" s="521"/>
      <c r="F114" s="521"/>
      <c r="G114" s="521"/>
      <c r="H114" s="521"/>
      <c r="I114" s="521"/>
      <c r="J114" s="521"/>
      <c r="K114" s="521"/>
      <c r="L114" s="521"/>
      <c r="M114" s="542" t="s">
        <v>94</v>
      </c>
      <c r="N114" s="543"/>
      <c r="O114" s="543"/>
      <c r="P114" s="544"/>
    </row>
    <row r="115" spans="1:16" s="13" customFormat="1" ht="21.75" hidden="1" customHeight="1">
      <c r="A115" s="525"/>
      <c r="B115" s="511" t="s">
        <v>95</v>
      </c>
      <c r="C115" s="513"/>
      <c r="D115" s="511" t="s">
        <v>96</v>
      </c>
      <c r="E115" s="512"/>
      <c r="F115" s="512"/>
      <c r="G115" s="512"/>
      <c r="H115" s="512"/>
      <c r="I115" s="512"/>
      <c r="J115" s="512"/>
      <c r="K115" s="512"/>
      <c r="L115" s="512"/>
      <c r="M115" s="545" t="s">
        <v>100</v>
      </c>
      <c r="N115" s="513"/>
      <c r="O115" s="513"/>
      <c r="P115" s="513"/>
    </row>
    <row r="116" spans="1:16" s="13" customFormat="1" ht="16.5" hidden="1" customHeight="1">
      <c r="A116" s="525"/>
      <c r="B116" s="511" t="s">
        <v>98</v>
      </c>
      <c r="C116" s="513"/>
      <c r="D116" s="511" t="s">
        <v>97</v>
      </c>
      <c r="E116" s="512"/>
      <c r="F116" s="512"/>
      <c r="G116" s="512"/>
      <c r="H116" s="512"/>
      <c r="I116" s="512"/>
      <c r="J116" s="512"/>
      <c r="K116" s="512"/>
      <c r="L116" s="512"/>
      <c r="M116" s="545" t="s">
        <v>101</v>
      </c>
      <c r="N116" s="513"/>
      <c r="O116" s="513"/>
      <c r="P116" s="513"/>
    </row>
    <row r="117" spans="1:16" s="13" customFormat="1" ht="18" hidden="1" customHeight="1">
      <c r="A117" s="525"/>
      <c r="B117" s="510" t="s">
        <v>99</v>
      </c>
      <c r="C117" s="509"/>
      <c r="D117" s="59"/>
      <c r="E117" s="60"/>
      <c r="F117" s="60"/>
      <c r="G117" s="60"/>
      <c r="H117" s="60"/>
      <c r="I117" s="60"/>
      <c r="J117" s="60"/>
      <c r="K117" s="60"/>
      <c r="L117" s="60"/>
      <c r="M117" s="510" t="s">
        <v>102</v>
      </c>
      <c r="N117" s="508"/>
      <c r="O117" s="508"/>
      <c r="P117" s="509"/>
    </row>
    <row r="118" spans="1:16" s="13" customFormat="1" hidden="1"/>
    <row r="119" spans="1:16" s="13" customFormat="1" hidden="1"/>
    <row r="120" spans="1:16" s="13" customFormat="1" hidden="1">
      <c r="H120" s="13">
        <f>100.48*(1+C144)</f>
        <v>128.39334400000001</v>
      </c>
    </row>
    <row r="121" spans="1:16" s="13" customFormat="1" hidden="1"/>
    <row r="122" spans="1:16" s="13" customFormat="1">
      <c r="P122" s="16">
        <f>G102</f>
        <v>414171.72400150693</v>
      </c>
    </row>
    <row r="123" spans="1:16" s="13" customFormat="1">
      <c r="P123" s="16">
        <f>P111-P122</f>
        <v>-4.0015069535002112E-3</v>
      </c>
    </row>
    <row r="124" spans="1:16" s="13" customFormat="1"/>
    <row r="125" spans="1:16">
      <c r="O125" s="16"/>
    </row>
    <row r="127" spans="1:16">
      <c r="M127" s="44"/>
    </row>
    <row r="128" spans="1:16">
      <c r="C128" s="46" t="s">
        <v>303</v>
      </c>
      <c r="D128" s="3">
        <v>0.22120000000000001</v>
      </c>
    </row>
    <row r="129" spans="3:11">
      <c r="C129" s="46" t="s">
        <v>304</v>
      </c>
      <c r="D129" s="3">
        <v>0.22120000000000001</v>
      </c>
      <c r="E129" s="238">
        <v>1.2212000000000001</v>
      </c>
    </row>
    <row r="130" spans="3:11">
      <c r="C130" s="46"/>
    </row>
    <row r="131" spans="3:11">
      <c r="C131" s="46" t="s">
        <v>301</v>
      </c>
      <c r="D131" s="1">
        <v>395424.05</v>
      </c>
      <c r="G131" s="1">
        <v>499282.16</v>
      </c>
      <c r="K131" s="2"/>
    </row>
    <row r="132" spans="3:11">
      <c r="C132" s="46" t="s">
        <v>302</v>
      </c>
      <c r="D132" s="1">
        <v>300389.75</v>
      </c>
      <c r="G132" s="1">
        <v>493209.28</v>
      </c>
      <c r="K132" s="3"/>
    </row>
    <row r="134" spans="3:11" ht="31.5" customHeight="1">
      <c r="D134" s="237">
        <f>((D131-D132)/D131)</f>
        <v>0.24033515412125284</v>
      </c>
      <c r="G134" s="2">
        <f>((G131-G132)/G131)*100</f>
        <v>1.2163222495271904</v>
      </c>
    </row>
    <row r="135" spans="3:11">
      <c r="D135" s="236"/>
    </row>
    <row r="140" spans="3:11">
      <c r="C140" t="s">
        <v>48</v>
      </c>
      <c r="F140"/>
    </row>
    <row r="142" spans="3:11">
      <c r="C142" t="s">
        <v>49</v>
      </c>
      <c r="F142"/>
    </row>
    <row r="143" spans="3:11">
      <c r="C143" t="s">
        <v>50</v>
      </c>
      <c r="F143"/>
    </row>
    <row r="144" spans="3:11">
      <c r="C144" s="4">
        <f xml:space="preserve"> 29% - 1.22%</f>
        <v>0.27779999999999999</v>
      </c>
      <c r="F144"/>
    </row>
    <row r="148" spans="6:10">
      <c r="F148"/>
      <c r="I148"/>
      <c r="J148"/>
    </row>
    <row r="149" spans="6:10">
      <c r="F149"/>
      <c r="I149"/>
      <c r="J149"/>
    </row>
  </sheetData>
  <mergeCells count="62">
    <mergeCell ref="C17:C18"/>
    <mergeCell ref="D11:E11"/>
    <mergeCell ref="B105:C105"/>
    <mergeCell ref="B106:C106"/>
    <mergeCell ref="L99:N99"/>
    <mergeCell ref="B100:P100"/>
    <mergeCell ref="I17:J17"/>
    <mergeCell ref="G15:J15"/>
    <mergeCell ref="A94:G94"/>
    <mergeCell ref="A95:P95"/>
    <mergeCell ref="A96:K99"/>
    <mergeCell ref="L96:N96"/>
    <mergeCell ref="A101:A103"/>
    <mergeCell ref="B101:P101"/>
    <mergeCell ref="B103:P103"/>
    <mergeCell ref="B102:E102"/>
    <mergeCell ref="A113:A117"/>
    <mergeCell ref="B113:C113"/>
    <mergeCell ref="D113:L113"/>
    <mergeCell ref="M113:P113"/>
    <mergeCell ref="B114:C114"/>
    <mergeCell ref="D114:L114"/>
    <mergeCell ref="M114:P114"/>
    <mergeCell ref="B115:C115"/>
    <mergeCell ref="D115:L115"/>
    <mergeCell ref="M115:P115"/>
    <mergeCell ref="B116:C116"/>
    <mergeCell ref="D116:L116"/>
    <mergeCell ref="M116:P116"/>
    <mergeCell ref="B117:C117"/>
    <mergeCell ref="M117:P117"/>
    <mergeCell ref="A105:A109"/>
    <mergeCell ref="A4:P4"/>
    <mergeCell ref="A5:P5"/>
    <mergeCell ref="A6:P6"/>
    <mergeCell ref="A7:P7"/>
    <mergeCell ref="A9:P10"/>
    <mergeCell ref="B17:B18"/>
    <mergeCell ref="A17:A18"/>
    <mergeCell ref="C12:G12"/>
    <mergeCell ref="N11:O11"/>
    <mergeCell ref="D17:H17"/>
    <mergeCell ref="K17:L17"/>
    <mergeCell ref="M17:N17"/>
    <mergeCell ref="B108:C108"/>
    <mergeCell ref="B109:C109"/>
    <mergeCell ref="O17:P17"/>
    <mergeCell ref="B107:C107"/>
    <mergeCell ref="L105:P105"/>
    <mergeCell ref="L106:P106"/>
    <mergeCell ref="L107:P107"/>
    <mergeCell ref="L108:P108"/>
    <mergeCell ref="D105:K105"/>
    <mergeCell ref="K11:L11"/>
    <mergeCell ref="L97:N97"/>
    <mergeCell ref="L98:N98"/>
    <mergeCell ref="L109:P109"/>
    <mergeCell ref="D109:K109"/>
    <mergeCell ref="D108:K108"/>
    <mergeCell ref="D107:K107"/>
    <mergeCell ref="D106:K106"/>
    <mergeCell ref="G102:P102"/>
  </mergeCells>
  <phoneticPr fontId="67" type="noConversion"/>
  <pageMargins left="0.51181102362204722" right="0.51181102362204722" top="0.78740157480314965" bottom="0.78740157480314965" header="0.31496062992125984" footer="0.31496062992125984"/>
  <pageSetup paperSize="9" scale="29" orientation="landscape" r:id="rId1"/>
  <headerFooter>
    <oddFooter>Página &amp;P de &amp;N</oddFooter>
  </headerFooter>
  <rowBreaks count="5" manualBreakCount="5">
    <brk id="34" max="13" man="1"/>
    <brk id="52" max="13" man="1"/>
    <brk id="66" max="15" man="1"/>
    <brk id="83" max="13" man="1"/>
    <brk id="10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E39"/>
  <sheetViews>
    <sheetView view="pageBreakPreview" zoomScale="60" zoomScaleNormal="100" workbookViewId="0">
      <selection activeCell="H39" sqref="H39"/>
    </sheetView>
  </sheetViews>
  <sheetFormatPr defaultRowHeight="15"/>
  <cols>
    <col min="1" max="1" width="18.28515625" bestFit="1" customWidth="1"/>
    <col min="2" max="2" width="74.5703125" customWidth="1"/>
    <col min="3" max="3" width="13.85546875" customWidth="1"/>
    <col min="4" max="4" width="17.5703125" customWidth="1"/>
    <col min="5" max="5" width="16.7109375" customWidth="1"/>
    <col min="6" max="6" width="12.5703125" customWidth="1"/>
  </cols>
  <sheetData>
    <row r="3" spans="1:31" s="13" customFormat="1" ht="30" customHeight="1">
      <c r="A3" s="572" t="s">
        <v>374</v>
      </c>
      <c r="B3" s="572"/>
      <c r="C3" s="572"/>
      <c r="D3" s="572"/>
      <c r="E3" s="572"/>
      <c r="F3" s="572"/>
    </row>
    <row r="5" spans="1:31" s="13" customFormat="1" ht="18" customHeight="1">
      <c r="A5" s="240" t="s">
        <v>256</v>
      </c>
      <c r="B5" s="302" t="s">
        <v>276</v>
      </c>
      <c r="C5" s="240" t="s">
        <v>310</v>
      </c>
      <c r="D5" s="303" t="s">
        <v>311</v>
      </c>
      <c r="E5" s="303" t="s">
        <v>312</v>
      </c>
      <c r="F5" s="303" t="s">
        <v>129</v>
      </c>
    </row>
    <row r="6" spans="1:31" s="13" customFormat="1" ht="24" customHeight="1">
      <c r="A6" s="304" t="s">
        <v>352</v>
      </c>
      <c r="B6" s="305" t="s">
        <v>353</v>
      </c>
      <c r="C6" s="304" t="s">
        <v>10</v>
      </c>
      <c r="D6" s="306">
        <v>100</v>
      </c>
      <c r="E6" s="306"/>
      <c r="F6" s="306">
        <f>SUM(F7:F8)</f>
        <v>18090.370000000003</v>
      </c>
      <c r="G6" s="1"/>
    </row>
    <row r="7" spans="1:31" s="13" customFormat="1" ht="24" customHeight="1">
      <c r="A7" s="307" t="s">
        <v>354</v>
      </c>
      <c r="B7" s="308" t="s">
        <v>355</v>
      </c>
      <c r="C7" s="307" t="s">
        <v>72</v>
      </c>
      <c r="D7" s="309">
        <v>80</v>
      </c>
      <c r="E7" s="310">
        <v>82.65</v>
      </c>
      <c r="F7" s="310">
        <v>6612</v>
      </c>
    </row>
    <row r="8" spans="1:31" s="13" customFormat="1" ht="24" customHeight="1">
      <c r="A8" s="307" t="s">
        <v>354</v>
      </c>
      <c r="B8" s="308" t="s">
        <v>356</v>
      </c>
      <c r="C8" s="307" t="s">
        <v>72</v>
      </c>
      <c r="D8" s="309">
        <v>628.95197529999996</v>
      </c>
      <c r="E8" s="310">
        <v>18.25</v>
      </c>
      <c r="F8" s="310">
        <v>11478.37</v>
      </c>
    </row>
    <row r="10" spans="1:31" s="13" customFormat="1" ht="18" customHeight="1">
      <c r="A10" s="240" t="s">
        <v>258</v>
      </c>
      <c r="B10" s="302" t="s">
        <v>276</v>
      </c>
      <c r="C10" s="240" t="s">
        <v>310</v>
      </c>
      <c r="D10" s="303" t="s">
        <v>311</v>
      </c>
      <c r="E10" s="303" t="s">
        <v>312</v>
      </c>
      <c r="F10" s="303" t="s">
        <v>129</v>
      </c>
    </row>
    <row r="11" spans="1:31" s="13" customFormat="1" ht="36" customHeight="1">
      <c r="A11" s="304" t="s">
        <v>352</v>
      </c>
      <c r="B11" s="305" t="s">
        <v>216</v>
      </c>
      <c r="C11" s="304" t="s">
        <v>357</v>
      </c>
      <c r="D11" s="311">
        <v>1</v>
      </c>
      <c r="E11" s="306"/>
      <c r="F11" s="306">
        <f>SUM(F12:F15)</f>
        <v>62.205600000000004</v>
      </c>
    </row>
    <row r="12" spans="1:31" s="13" customFormat="1" ht="34.5" customHeight="1">
      <c r="A12" s="312" t="s">
        <v>358</v>
      </c>
      <c r="B12" s="313" t="s">
        <v>359</v>
      </c>
      <c r="C12" s="312" t="s">
        <v>357</v>
      </c>
      <c r="D12" s="314">
        <v>1</v>
      </c>
      <c r="E12" s="315">
        <v>56.42</v>
      </c>
      <c r="F12" s="315">
        <f>D12*E12</f>
        <v>56.42</v>
      </c>
    </row>
    <row r="13" spans="1:31" s="301" customFormat="1" ht="33" customHeight="1">
      <c r="A13" s="307" t="s">
        <v>55</v>
      </c>
      <c r="B13" s="308" t="s">
        <v>360</v>
      </c>
      <c r="C13" s="307" t="s">
        <v>361</v>
      </c>
      <c r="D13" s="309">
        <v>0.01</v>
      </c>
      <c r="E13" s="310">
        <v>325.56</v>
      </c>
      <c r="F13" s="310">
        <f t="shared" ref="F13:F15" si="0">D13*E13</f>
        <v>3.2556000000000003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s="301" customFormat="1" ht="33" customHeight="1">
      <c r="A14" s="307" t="s">
        <v>55</v>
      </c>
      <c r="B14" s="308" t="s">
        <v>362</v>
      </c>
      <c r="C14" s="307" t="s">
        <v>72</v>
      </c>
      <c r="D14" s="309">
        <v>0.05</v>
      </c>
      <c r="E14" s="310">
        <v>20.32</v>
      </c>
      <c r="F14" s="310">
        <f t="shared" si="0"/>
        <v>1.016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s="301" customFormat="1" ht="33" customHeight="1">
      <c r="A15" s="307" t="s">
        <v>55</v>
      </c>
      <c r="B15" s="308" t="s">
        <v>363</v>
      </c>
      <c r="C15" s="307" t="s">
        <v>72</v>
      </c>
      <c r="D15" s="309">
        <v>0.1</v>
      </c>
      <c r="E15" s="310">
        <v>15.14</v>
      </c>
      <c r="F15" s="310">
        <f t="shared" si="0"/>
        <v>1.5140000000000002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7" spans="1:7" s="13" customFormat="1"/>
    <row r="18" spans="1:7" s="13" customFormat="1" ht="18" customHeight="1">
      <c r="A18" s="240" t="s">
        <v>260</v>
      </c>
      <c r="B18" s="302" t="s">
        <v>276</v>
      </c>
      <c r="C18" s="240" t="s">
        <v>310</v>
      </c>
      <c r="D18" s="303" t="s">
        <v>311</v>
      </c>
      <c r="E18" s="303" t="s">
        <v>312</v>
      </c>
      <c r="F18" s="303" t="s">
        <v>129</v>
      </c>
    </row>
    <row r="19" spans="1:7" s="13" customFormat="1" ht="48" customHeight="1">
      <c r="A19" s="304" t="s">
        <v>352</v>
      </c>
      <c r="B19" s="305" t="s">
        <v>364</v>
      </c>
      <c r="C19" s="304" t="s">
        <v>357</v>
      </c>
      <c r="D19" s="316">
        <v>1</v>
      </c>
      <c r="E19" s="306"/>
      <c r="F19" s="306">
        <f>SUM(F20:F28)</f>
        <v>534.80999999999995</v>
      </c>
      <c r="G19" s="1"/>
    </row>
    <row r="20" spans="1:7" s="13" customFormat="1" ht="36" customHeight="1">
      <c r="A20" s="307" t="s">
        <v>354</v>
      </c>
      <c r="B20" s="308" t="s">
        <v>365</v>
      </c>
      <c r="C20" s="307" t="s">
        <v>70</v>
      </c>
      <c r="D20" s="309">
        <v>2.0159766000000001</v>
      </c>
      <c r="E20" s="310">
        <v>48.71</v>
      </c>
      <c r="F20" s="310">
        <v>98.19</v>
      </c>
    </row>
    <row r="21" spans="1:7" s="13" customFormat="1" ht="36" customHeight="1">
      <c r="A21" s="307" t="s">
        <v>354</v>
      </c>
      <c r="B21" s="308" t="s">
        <v>366</v>
      </c>
      <c r="C21" s="307" t="s">
        <v>71</v>
      </c>
      <c r="D21" s="309">
        <v>0.3535874</v>
      </c>
      <c r="E21" s="310">
        <v>23.2</v>
      </c>
      <c r="F21" s="310">
        <v>8.1999999999999993</v>
      </c>
    </row>
    <row r="22" spans="1:7" s="13" customFormat="1" ht="24" customHeight="1">
      <c r="A22" s="307" t="s">
        <v>354</v>
      </c>
      <c r="B22" s="308" t="s">
        <v>64</v>
      </c>
      <c r="C22" s="307" t="s">
        <v>72</v>
      </c>
      <c r="D22" s="309">
        <v>6.3868010000000002</v>
      </c>
      <c r="E22" s="310">
        <v>13.68</v>
      </c>
      <c r="F22" s="310">
        <v>87.37</v>
      </c>
    </row>
    <row r="23" spans="1:7" s="13" customFormat="1" ht="24" customHeight="1">
      <c r="A23" s="307" t="s">
        <v>354</v>
      </c>
      <c r="B23" s="308" t="s">
        <v>367</v>
      </c>
      <c r="C23" s="307" t="s">
        <v>72</v>
      </c>
      <c r="D23" s="309">
        <v>2.4991832</v>
      </c>
      <c r="E23" s="310">
        <v>17.59</v>
      </c>
      <c r="F23" s="310">
        <v>43.96</v>
      </c>
    </row>
    <row r="24" spans="1:7" s="13" customFormat="1" ht="24" customHeight="1">
      <c r="A24" s="307" t="s">
        <v>354</v>
      </c>
      <c r="B24" s="308" t="s">
        <v>305</v>
      </c>
      <c r="C24" s="307" t="s">
        <v>72</v>
      </c>
      <c r="D24" s="309">
        <v>7.3665048999999998</v>
      </c>
      <c r="E24" s="310">
        <v>17.59</v>
      </c>
      <c r="F24" s="310">
        <v>129.57</v>
      </c>
    </row>
    <row r="25" spans="1:7" s="13" customFormat="1" ht="24" customHeight="1">
      <c r="A25" s="312" t="s">
        <v>358</v>
      </c>
      <c r="B25" s="313" t="s">
        <v>368</v>
      </c>
      <c r="C25" s="312" t="s">
        <v>263</v>
      </c>
      <c r="D25" s="314">
        <v>3.37</v>
      </c>
      <c r="E25" s="315">
        <v>15.62</v>
      </c>
      <c r="F25" s="315">
        <v>52.63</v>
      </c>
    </row>
    <row r="26" spans="1:7" s="13" customFormat="1" ht="24" customHeight="1">
      <c r="A26" s="312" t="s">
        <v>358</v>
      </c>
      <c r="B26" s="313" t="s">
        <v>369</v>
      </c>
      <c r="C26" s="312" t="s">
        <v>357</v>
      </c>
      <c r="D26" s="314">
        <v>1.1000000000000001</v>
      </c>
      <c r="E26" s="315">
        <v>9.36</v>
      </c>
      <c r="F26" s="315">
        <v>10.29</v>
      </c>
    </row>
    <row r="27" spans="1:7" s="13" customFormat="1" ht="36" customHeight="1">
      <c r="A27" s="312" t="s">
        <v>358</v>
      </c>
      <c r="B27" s="313" t="s">
        <v>370</v>
      </c>
      <c r="C27" s="312" t="s">
        <v>262</v>
      </c>
      <c r="D27" s="314">
        <v>1.4318</v>
      </c>
      <c r="E27" s="315">
        <v>18.64</v>
      </c>
      <c r="F27" s="315">
        <v>26.68</v>
      </c>
    </row>
    <row r="28" spans="1:7" s="13" customFormat="1" ht="36" customHeight="1">
      <c r="A28" s="312" t="s">
        <v>358</v>
      </c>
      <c r="B28" s="313" t="s">
        <v>371</v>
      </c>
      <c r="C28" s="312" t="s">
        <v>262</v>
      </c>
      <c r="D28" s="314">
        <v>6.7407000000000004</v>
      </c>
      <c r="E28" s="315">
        <v>11.56</v>
      </c>
      <c r="F28" s="315">
        <v>77.92</v>
      </c>
    </row>
    <row r="30" spans="1:7" s="13" customFormat="1" ht="18" customHeight="1">
      <c r="A30" s="240" t="s">
        <v>375</v>
      </c>
      <c r="B30" s="302" t="s">
        <v>276</v>
      </c>
      <c r="C30" s="240" t="s">
        <v>310</v>
      </c>
      <c r="D30" s="303" t="s">
        <v>311</v>
      </c>
      <c r="E30" s="303" t="s">
        <v>312</v>
      </c>
      <c r="F30" s="303" t="s">
        <v>129</v>
      </c>
    </row>
    <row r="31" spans="1:7" s="13" customFormat="1" ht="24" customHeight="1">
      <c r="A31" s="304" t="s">
        <v>352</v>
      </c>
      <c r="B31" s="305" t="s">
        <v>224</v>
      </c>
      <c r="C31" s="304" t="s">
        <v>262</v>
      </c>
      <c r="D31" s="316">
        <v>1</v>
      </c>
      <c r="E31" s="306"/>
      <c r="F31" s="306">
        <f>SUM(F32:F33)</f>
        <v>171.24</v>
      </c>
      <c r="G31" s="1"/>
    </row>
    <row r="32" spans="1:7" s="13" customFormat="1" ht="24" customHeight="1">
      <c r="A32" s="307" t="s">
        <v>354</v>
      </c>
      <c r="B32" s="308" t="s">
        <v>64</v>
      </c>
      <c r="C32" s="307" t="s">
        <v>72</v>
      </c>
      <c r="D32" s="309">
        <v>0.25520959999999998</v>
      </c>
      <c r="E32" s="310">
        <v>13.68</v>
      </c>
      <c r="F32" s="310">
        <v>3.49</v>
      </c>
    </row>
    <row r="33" spans="1:6" s="13" customFormat="1" ht="36" customHeight="1">
      <c r="A33" s="312" t="s">
        <v>358</v>
      </c>
      <c r="B33" s="313" t="s">
        <v>372</v>
      </c>
      <c r="C33" s="312" t="s">
        <v>329</v>
      </c>
      <c r="D33" s="314">
        <v>1</v>
      </c>
      <c r="E33" s="315">
        <v>167.75</v>
      </c>
      <c r="F33" s="315">
        <v>167.75</v>
      </c>
    </row>
    <row r="35" spans="1:6" s="13" customFormat="1" ht="18" customHeight="1">
      <c r="A35" s="239" t="s">
        <v>373</v>
      </c>
      <c r="B35" s="240" t="s">
        <v>276</v>
      </c>
      <c r="C35" s="240" t="s">
        <v>310</v>
      </c>
      <c r="D35" s="240" t="s">
        <v>311</v>
      </c>
      <c r="E35" s="240" t="s">
        <v>312</v>
      </c>
      <c r="F35" s="240" t="s">
        <v>129</v>
      </c>
    </row>
    <row r="36" spans="1:6" s="13" customFormat="1" ht="24" customHeight="1">
      <c r="A36" s="304" t="s">
        <v>352</v>
      </c>
      <c r="B36" s="305" t="s">
        <v>313</v>
      </c>
      <c r="C36" s="304" t="s">
        <v>314</v>
      </c>
      <c r="D36" s="316">
        <v>1</v>
      </c>
      <c r="E36" s="306"/>
      <c r="F36" s="306">
        <f>SUM(F37:F39)</f>
        <v>28.557620947810673</v>
      </c>
    </row>
    <row r="37" spans="1:6" s="13" customFormat="1" ht="33" customHeight="1">
      <c r="A37" s="241">
        <v>93358</v>
      </c>
      <c r="B37" s="313" t="s">
        <v>297</v>
      </c>
      <c r="C37" s="312" t="s">
        <v>73</v>
      </c>
      <c r="D37" s="312">
        <f>0.5*0.5*0.3</f>
        <v>7.4999999999999997E-2</v>
      </c>
      <c r="E37" s="312">
        <f>(59.89*ALTERAÇÃO!$E$129)-((59.89*ALTERAÇÃO!$E$129)*ALTERAÇÃO!$D$134)</f>
        <v>55.560115289150986</v>
      </c>
      <c r="F37" s="312">
        <f>E37*D37</f>
        <v>4.1670086466863241</v>
      </c>
    </row>
    <row r="38" spans="1:6" s="13" customFormat="1" ht="57.75" customHeight="1">
      <c r="A38" s="241">
        <v>87472</v>
      </c>
      <c r="B38" s="313" t="s">
        <v>307</v>
      </c>
      <c r="C38" s="312" t="s">
        <v>308</v>
      </c>
      <c r="D38" s="312">
        <f>0.4*0.3*4*1.1</f>
        <v>0.52800000000000002</v>
      </c>
      <c r="E38" s="312">
        <f>(36.22*ALTERAÇÃO!$E$129)-((36.22*ALTERAÇÃO!$E$129)*ALTERAÇÃO!$D$134)</f>
        <v>33.601392148489708</v>
      </c>
      <c r="F38" s="312">
        <f t="shared" ref="F38:F39" si="1">E38*D38</f>
        <v>17.741535054402569</v>
      </c>
    </row>
    <row r="39" spans="1:6" s="13" customFormat="1" ht="33" customHeight="1">
      <c r="A39" s="241">
        <v>94963</v>
      </c>
      <c r="B39" s="313" t="s">
        <v>309</v>
      </c>
      <c r="C39" s="312" t="s">
        <v>73</v>
      </c>
      <c r="D39" s="312">
        <f>0.5*0.5*0.1</f>
        <v>2.5000000000000001E-2</v>
      </c>
      <c r="E39" s="312">
        <f>(286.69*ALTERAÇÃO!$E$129)-((286.69*ALTERAÇÃO!$E$129)*ALTERAÇÃO!$D$134)</f>
        <v>265.96308986887118</v>
      </c>
      <c r="F39" s="312">
        <f t="shared" si="1"/>
        <v>6.64907724672178</v>
      </c>
    </row>
  </sheetData>
  <mergeCells count="1">
    <mergeCell ref="A3:F3"/>
  </mergeCells>
  <pageMargins left="0.51181102362204722" right="0.51181102362204722" top="0.78740157480314965" bottom="0.78740157480314965" header="0.31496062992125984" footer="0.31496062992125984"/>
  <pageSetup paperSize="9" scale="64" orientation="landscape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20"/>
  <sheetViews>
    <sheetView view="pageBreakPreview" topLeftCell="A70" zoomScale="55" zoomScaleNormal="100" zoomScaleSheetLayoutView="55" zoomScalePageLayoutView="85" workbookViewId="0">
      <selection activeCell="B43" sqref="B43"/>
    </sheetView>
  </sheetViews>
  <sheetFormatPr defaultRowHeight="15"/>
  <cols>
    <col min="1" max="1" width="13.85546875" customWidth="1"/>
    <col min="2" max="2" width="94.85546875" style="43" customWidth="1"/>
    <col min="3" max="3" width="18.140625" hidden="1" customWidth="1"/>
    <col min="4" max="4" width="20.42578125" style="13" customWidth="1"/>
    <col min="5" max="5" width="32.7109375" style="13" hidden="1" customWidth="1"/>
    <col min="6" max="6" width="28.7109375" style="13" hidden="1" customWidth="1"/>
    <col min="7" max="7" width="19" customWidth="1"/>
    <col min="8" max="8" width="20" customWidth="1"/>
    <col min="9" max="9" width="22.5703125" customWidth="1"/>
    <col min="10" max="10" width="29.140625" customWidth="1"/>
    <col min="11" max="11" width="26.5703125" customWidth="1"/>
  </cols>
  <sheetData>
    <row r="1" spans="1:36" s="51" customFormat="1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36" s="51" customForma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36" s="51" customFormat="1" ht="27" customHeight="1">
      <c r="A3" s="47"/>
      <c r="B3" s="299"/>
      <c r="C3" s="47"/>
      <c r="D3" s="47"/>
      <c r="E3" s="47"/>
      <c r="F3" s="47"/>
      <c r="G3" s="47"/>
      <c r="H3" s="47"/>
      <c r="I3" s="47"/>
      <c r="J3" s="47"/>
    </row>
    <row r="4" spans="1:36" s="51" customFormat="1" ht="45.75" customHeight="1">
      <c r="A4" s="526"/>
      <c r="B4" s="526"/>
      <c r="C4" s="526"/>
      <c r="D4" s="526"/>
      <c r="E4" s="526"/>
      <c r="F4" s="526"/>
      <c r="G4" s="526"/>
      <c r="H4" s="526"/>
      <c r="I4" s="526"/>
      <c r="J4" s="526"/>
    </row>
    <row r="5" spans="1:36" s="51" customFormat="1" ht="27" customHeight="1">
      <c r="A5" s="599" t="s">
        <v>27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</row>
    <row r="6" spans="1:36" s="51" customFormat="1" ht="29.25" customHeight="1">
      <c r="A6" s="600" t="s">
        <v>28</v>
      </c>
      <c r="B6" s="600"/>
      <c r="C6" s="600"/>
      <c r="D6" s="600"/>
      <c r="E6" s="600"/>
      <c r="F6" s="600"/>
      <c r="G6" s="600"/>
      <c r="H6" s="600"/>
      <c r="I6" s="600"/>
      <c r="J6" s="600"/>
      <c r="K6" s="600"/>
    </row>
    <row r="7" spans="1:36" s="51" customFormat="1" ht="33" customHeight="1">
      <c r="A7" s="600" t="s">
        <v>29</v>
      </c>
      <c r="B7" s="600"/>
      <c r="C7" s="600"/>
      <c r="D7" s="600"/>
      <c r="E7" s="600"/>
      <c r="F7" s="600"/>
      <c r="G7" s="600"/>
      <c r="H7" s="600"/>
      <c r="I7" s="600"/>
      <c r="J7" s="600"/>
      <c r="K7" s="600"/>
    </row>
    <row r="8" spans="1:36" s="51" customFormat="1" ht="58.5" customHeight="1">
      <c r="A8" s="322"/>
      <c r="B8" s="322"/>
      <c r="C8" s="322"/>
      <c r="D8" s="322"/>
      <c r="E8" s="322"/>
      <c r="F8" s="322"/>
      <c r="G8" s="322"/>
      <c r="H8" s="322"/>
      <c r="I8" s="322"/>
      <c r="J8" s="322"/>
      <c r="K8" s="323"/>
    </row>
    <row r="9" spans="1:36" ht="15" customHeight="1">
      <c r="A9" s="577" t="s">
        <v>316</v>
      </c>
      <c r="B9" s="577"/>
      <c r="C9" s="577"/>
      <c r="D9" s="577"/>
      <c r="E9" s="577"/>
      <c r="F9" s="577"/>
      <c r="G9" s="577"/>
      <c r="H9" s="577"/>
      <c r="I9" s="577"/>
      <c r="J9" s="577"/>
      <c r="K9" s="577"/>
    </row>
    <row r="10" spans="1:36" ht="20.25" customHeight="1">
      <c r="A10" s="577"/>
      <c r="B10" s="577"/>
      <c r="C10" s="577"/>
      <c r="D10" s="577"/>
      <c r="E10" s="577"/>
      <c r="F10" s="577"/>
      <c r="G10" s="577"/>
      <c r="H10" s="577"/>
      <c r="I10" s="577"/>
      <c r="J10" s="577"/>
      <c r="K10" s="577"/>
    </row>
    <row r="11" spans="1:36" s="13" customFormat="1" ht="41.25" customHeight="1">
      <c r="A11" s="597" t="s">
        <v>273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</row>
    <row r="12" spans="1:36" s="70" customFormat="1" ht="58.5" customHeight="1">
      <c r="A12" s="585" t="s">
        <v>44</v>
      </c>
      <c r="B12" s="586" t="s">
        <v>337</v>
      </c>
      <c r="C12" s="587" t="s">
        <v>26</v>
      </c>
      <c r="D12" s="589" t="s">
        <v>45</v>
      </c>
      <c r="E12" s="578" t="s">
        <v>107</v>
      </c>
      <c r="F12" s="578" t="s">
        <v>46</v>
      </c>
      <c r="G12" s="580" t="s">
        <v>336</v>
      </c>
      <c r="H12" s="581"/>
      <c r="I12" s="581"/>
      <c r="J12" s="581"/>
      <c r="K12" s="582"/>
    </row>
    <row r="13" spans="1:36" s="71" customFormat="1" ht="31.5" customHeight="1">
      <c r="A13" s="585"/>
      <c r="B13" s="586"/>
      <c r="C13" s="588"/>
      <c r="D13" s="590"/>
      <c r="E13" s="579"/>
      <c r="F13" s="579"/>
      <c r="G13" s="583"/>
      <c r="H13" s="584"/>
      <c r="I13" s="584"/>
      <c r="J13" s="584"/>
      <c r="K13" s="58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</row>
    <row r="14" spans="1:36" s="72" customFormat="1" ht="30" customHeight="1">
      <c r="A14" s="215" t="s">
        <v>1</v>
      </c>
      <c r="B14" s="219" t="s">
        <v>170</v>
      </c>
      <c r="C14" s="215"/>
      <c r="D14" s="215"/>
      <c r="E14" s="218"/>
      <c r="F14" s="280">
        <f>SUM(F15:F16)</f>
        <v>7329.9843360000004</v>
      </c>
      <c r="G14" s="591"/>
      <c r="H14" s="592"/>
      <c r="I14" s="592"/>
      <c r="J14" s="592"/>
      <c r="K14" s="592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</row>
    <row r="15" spans="1:36" s="72" customFormat="1" ht="45.75" customHeight="1">
      <c r="A15" s="244" t="s">
        <v>3</v>
      </c>
      <c r="B15" s="255" t="s">
        <v>168</v>
      </c>
      <c r="C15" s="261">
        <v>6</v>
      </c>
      <c r="D15" s="262" t="s">
        <v>300</v>
      </c>
      <c r="E15" s="253">
        <v>466.52282400000001</v>
      </c>
      <c r="F15" s="250">
        <f>C15*E15</f>
        <v>2799.1369439999999</v>
      </c>
      <c r="G15" s="593" t="s">
        <v>417</v>
      </c>
      <c r="H15" s="594"/>
      <c r="I15" s="594"/>
      <c r="J15" s="594"/>
      <c r="K15" s="594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</row>
    <row r="16" spans="1:36" s="72" customFormat="1" ht="36.75" customHeight="1">
      <c r="A16" s="244" t="s">
        <v>4</v>
      </c>
      <c r="B16" s="255" t="s">
        <v>80</v>
      </c>
      <c r="C16" s="261">
        <v>6</v>
      </c>
      <c r="D16" s="262" t="s">
        <v>300</v>
      </c>
      <c r="E16" s="253">
        <v>755.14123200000006</v>
      </c>
      <c r="F16" s="250">
        <f>C16*E16</f>
        <v>4530.8473920000006</v>
      </c>
      <c r="G16" s="593" t="s">
        <v>416</v>
      </c>
      <c r="H16" s="594"/>
      <c r="I16" s="594"/>
      <c r="J16" s="594"/>
      <c r="K16" s="594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</row>
    <row r="17" spans="1:36" s="71" customFormat="1" ht="15.75">
      <c r="A17" s="215" t="s">
        <v>5</v>
      </c>
      <c r="B17" s="270" t="s">
        <v>2</v>
      </c>
      <c r="C17" s="224"/>
      <c r="D17" s="215"/>
      <c r="E17" s="225"/>
      <c r="F17" s="280">
        <f>SUM(F18)</f>
        <v>529.56116800000007</v>
      </c>
      <c r="G17" s="591"/>
      <c r="H17" s="592"/>
      <c r="I17" s="592"/>
      <c r="J17" s="592"/>
      <c r="K17" s="592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</row>
    <row r="18" spans="1:36" s="72" customFormat="1" ht="72" customHeight="1">
      <c r="A18" s="244" t="s">
        <v>6</v>
      </c>
      <c r="B18" s="255" t="s">
        <v>169</v>
      </c>
      <c r="C18" s="261">
        <v>4</v>
      </c>
      <c r="D18" s="262" t="s">
        <v>70</v>
      </c>
      <c r="E18" s="253">
        <v>132.39029200000002</v>
      </c>
      <c r="F18" s="250">
        <f>C18*E18</f>
        <v>529.56116800000007</v>
      </c>
      <c r="G18" s="595" t="s">
        <v>415</v>
      </c>
      <c r="H18" s="596"/>
      <c r="I18" s="596"/>
      <c r="J18" s="596"/>
      <c r="K18" s="596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</row>
    <row r="19" spans="1:36" s="79" customFormat="1" ht="30" customHeight="1">
      <c r="A19" s="215" t="s">
        <v>7</v>
      </c>
      <c r="B19" s="270" t="s">
        <v>8</v>
      </c>
      <c r="C19" s="224"/>
      <c r="D19" s="215"/>
      <c r="E19" s="225"/>
      <c r="F19" s="280">
        <f>SUM(F20)</f>
        <v>22091.959844000001</v>
      </c>
      <c r="G19" s="591"/>
      <c r="H19" s="592"/>
      <c r="I19" s="592"/>
      <c r="J19" s="592"/>
      <c r="K19" s="592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</row>
    <row r="20" spans="1:36" s="77" customFormat="1" ht="36.75" customHeight="1">
      <c r="A20" s="244" t="s">
        <v>9</v>
      </c>
      <c r="B20" s="255" t="s">
        <v>81</v>
      </c>
      <c r="C20" s="261">
        <v>100</v>
      </c>
      <c r="D20" s="262" t="s">
        <v>10</v>
      </c>
      <c r="E20" s="253">
        <v>22091.959844000001</v>
      </c>
      <c r="F20" s="250">
        <f>E20</f>
        <v>22091.959844000001</v>
      </c>
      <c r="G20" s="573" t="s">
        <v>414</v>
      </c>
      <c r="H20" s="574"/>
      <c r="I20" s="574"/>
      <c r="J20" s="574"/>
      <c r="K20" s="574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</row>
    <row r="21" spans="1:36" s="79" customFormat="1" ht="35.25" customHeight="1">
      <c r="A21" s="215" t="s">
        <v>11</v>
      </c>
      <c r="B21" s="219" t="s">
        <v>171</v>
      </c>
      <c r="C21" s="224"/>
      <c r="D21" s="215"/>
      <c r="E21" s="225"/>
      <c r="F21" s="280">
        <f>SUM(F22:F29)</f>
        <v>8180.1600847199998</v>
      </c>
      <c r="G21" s="591"/>
      <c r="H21" s="592"/>
      <c r="I21" s="592"/>
      <c r="J21" s="592"/>
      <c r="K21" s="592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</row>
    <row r="22" spans="1:36" s="77" customFormat="1" ht="35.25" customHeight="1">
      <c r="A22" s="243" t="s">
        <v>12</v>
      </c>
      <c r="B22" s="255" t="s">
        <v>172</v>
      </c>
      <c r="C22" s="261">
        <v>553.29</v>
      </c>
      <c r="D22" s="262" t="s">
        <v>300</v>
      </c>
      <c r="E22" s="253">
        <v>5.0924040000000002</v>
      </c>
      <c r="F22" s="250">
        <f>C22*E22</f>
        <v>2817.57620916</v>
      </c>
      <c r="G22" s="573" t="s">
        <v>409</v>
      </c>
      <c r="H22" s="574"/>
      <c r="I22" s="574"/>
      <c r="J22" s="574"/>
      <c r="K22" s="574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</row>
    <row r="23" spans="1:36" s="77" customFormat="1" ht="35.25" customHeight="1">
      <c r="A23" s="243" t="s">
        <v>377</v>
      </c>
      <c r="B23" s="255" t="s">
        <v>173</v>
      </c>
      <c r="C23" s="261">
        <v>553.29</v>
      </c>
      <c r="D23" s="262" t="s">
        <v>300</v>
      </c>
      <c r="E23" s="253">
        <v>2.3691279999999999</v>
      </c>
      <c r="F23" s="250">
        <f>C23*E23</f>
        <v>1310.8148311199998</v>
      </c>
      <c r="G23" s="573" t="s">
        <v>409</v>
      </c>
      <c r="H23" s="574"/>
      <c r="I23" s="574"/>
      <c r="J23" s="574"/>
      <c r="K23" s="574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</row>
    <row r="24" spans="1:36" s="77" customFormat="1" ht="64.5" customHeight="1">
      <c r="A24" s="243" t="s">
        <v>378</v>
      </c>
      <c r="B24" s="286" t="s">
        <v>174</v>
      </c>
      <c r="C24" s="261">
        <v>4.3</v>
      </c>
      <c r="D24" s="262" t="s">
        <v>73</v>
      </c>
      <c r="E24" s="253">
        <v>36.990147999999998</v>
      </c>
      <c r="F24" s="250">
        <f t="shared" ref="F24:F29" si="0">C24*E24</f>
        <v>159.05763639999998</v>
      </c>
      <c r="G24" s="573" t="s">
        <v>407</v>
      </c>
      <c r="H24" s="574"/>
      <c r="I24" s="574"/>
      <c r="J24" s="574"/>
      <c r="K24" s="574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</row>
    <row r="25" spans="1:36" s="77" customFormat="1" ht="51.75" customHeight="1">
      <c r="A25" s="243" t="s">
        <v>379</v>
      </c>
      <c r="B25" s="286" t="s">
        <v>175</v>
      </c>
      <c r="C25" s="261">
        <v>129.5</v>
      </c>
      <c r="D25" s="262" t="s">
        <v>300</v>
      </c>
      <c r="E25" s="253">
        <v>15.838964000000002</v>
      </c>
      <c r="F25" s="250">
        <f t="shared" si="0"/>
        <v>2051.1458380000004</v>
      </c>
      <c r="G25" s="573" t="s">
        <v>408</v>
      </c>
      <c r="H25" s="574"/>
      <c r="I25" s="574"/>
      <c r="J25" s="574"/>
      <c r="K25" s="574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</row>
    <row r="26" spans="1:36" s="77" customFormat="1" ht="35.25" customHeight="1">
      <c r="A26" s="243" t="s">
        <v>380</v>
      </c>
      <c r="B26" s="255" t="s">
        <v>176</v>
      </c>
      <c r="C26" s="261">
        <v>8</v>
      </c>
      <c r="D26" s="262" t="s">
        <v>314</v>
      </c>
      <c r="E26" s="253">
        <v>8.4384920000000001</v>
      </c>
      <c r="F26" s="250">
        <f t="shared" si="0"/>
        <v>67.507936000000001</v>
      </c>
      <c r="G26" s="573" t="s">
        <v>410</v>
      </c>
      <c r="H26" s="574"/>
      <c r="I26" s="574"/>
      <c r="J26" s="574"/>
      <c r="K26" s="574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</row>
    <row r="27" spans="1:36" s="77" customFormat="1" ht="35.25" customHeight="1">
      <c r="A27" s="243" t="s">
        <v>381</v>
      </c>
      <c r="B27" s="255" t="s">
        <v>177</v>
      </c>
      <c r="C27" s="261">
        <v>10.92</v>
      </c>
      <c r="D27" s="262" t="s">
        <v>300</v>
      </c>
      <c r="E27" s="253">
        <v>6.3258159999999997</v>
      </c>
      <c r="F27" s="250">
        <f t="shared" si="0"/>
        <v>69.077910719999991</v>
      </c>
      <c r="G27" s="573" t="s">
        <v>411</v>
      </c>
      <c r="H27" s="574"/>
      <c r="I27" s="574"/>
      <c r="J27" s="574"/>
      <c r="K27" s="574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</row>
    <row r="28" spans="1:36" s="77" customFormat="1" ht="55.5" customHeight="1">
      <c r="A28" s="243" t="s">
        <v>382</v>
      </c>
      <c r="B28" s="255" t="s">
        <v>178</v>
      </c>
      <c r="C28" s="261">
        <v>19.170000000000002</v>
      </c>
      <c r="D28" s="262" t="s">
        <v>73</v>
      </c>
      <c r="E28" s="253">
        <v>88.939996000000008</v>
      </c>
      <c r="F28" s="250">
        <f t="shared" si="0"/>
        <v>1704.9797233200004</v>
      </c>
      <c r="G28" s="573" t="s">
        <v>412</v>
      </c>
      <c r="H28" s="574"/>
      <c r="I28" s="574"/>
      <c r="J28" s="574"/>
      <c r="K28" s="574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</row>
    <row r="29" spans="1:36" s="72" customFormat="1" ht="54" customHeight="1">
      <c r="A29" s="243" t="s">
        <v>383</v>
      </c>
      <c r="B29" s="285" t="s">
        <v>305</v>
      </c>
      <c r="C29" s="261"/>
      <c r="D29" s="262" t="s">
        <v>72</v>
      </c>
      <c r="E29" s="253">
        <f>(19.05*$E$102)-((19.05*$E$102)*$D$107)</f>
        <v>23.263860000000001</v>
      </c>
      <c r="F29" s="250">
        <f t="shared" si="0"/>
        <v>0</v>
      </c>
      <c r="G29" s="575" t="s">
        <v>413</v>
      </c>
      <c r="H29" s="576"/>
      <c r="I29" s="576"/>
      <c r="J29" s="576"/>
      <c r="K29" s="576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</row>
    <row r="30" spans="1:36" s="76" customFormat="1" ht="33.75" customHeight="1">
      <c r="A30" s="215" t="s">
        <v>13</v>
      </c>
      <c r="B30" s="219" t="s">
        <v>179</v>
      </c>
      <c r="C30" s="224"/>
      <c r="D30" s="215"/>
      <c r="E30" s="215"/>
      <c r="F30" s="280">
        <f>SUM(F31:F47)</f>
        <v>11627.059121679998</v>
      </c>
      <c r="G30" s="591"/>
      <c r="H30" s="592"/>
      <c r="I30" s="592"/>
      <c r="J30" s="592"/>
      <c r="K30" s="592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</row>
    <row r="31" spans="1:36" s="72" customFormat="1" ht="48.75" customHeight="1">
      <c r="A31" s="243" t="s">
        <v>14</v>
      </c>
      <c r="B31" s="255" t="s">
        <v>180</v>
      </c>
      <c r="C31" s="261">
        <v>2</v>
      </c>
      <c r="D31" s="262" t="s">
        <v>314</v>
      </c>
      <c r="E31" s="253">
        <v>63.184888000000008</v>
      </c>
      <c r="F31" s="250">
        <f t="shared" ref="F31:F47" si="1">C31*E31</f>
        <v>126.36977600000002</v>
      </c>
      <c r="G31" s="573" t="s">
        <v>418</v>
      </c>
      <c r="H31" s="574"/>
      <c r="I31" s="574"/>
      <c r="J31" s="574"/>
      <c r="K31" s="574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</row>
    <row r="32" spans="1:36" s="76" customFormat="1" ht="48.75" customHeight="1">
      <c r="A32" s="243" t="s">
        <v>15</v>
      </c>
      <c r="B32" s="255" t="s">
        <v>181</v>
      </c>
      <c r="C32" s="261">
        <v>6</v>
      </c>
      <c r="D32" s="262" t="s">
        <v>314</v>
      </c>
      <c r="E32" s="253">
        <v>106.19555199999999</v>
      </c>
      <c r="F32" s="250">
        <f t="shared" si="1"/>
        <v>637.1733119999999</v>
      </c>
      <c r="G32" s="573" t="s">
        <v>419</v>
      </c>
      <c r="H32" s="574"/>
      <c r="I32" s="574"/>
      <c r="J32" s="574"/>
      <c r="K32" s="574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</row>
    <row r="33" spans="1:36" s="72" customFormat="1" ht="48.75" customHeight="1">
      <c r="A33" s="243" t="s">
        <v>16</v>
      </c>
      <c r="B33" s="255" t="s">
        <v>182</v>
      </c>
      <c r="C33" s="261">
        <v>4</v>
      </c>
      <c r="D33" s="262" t="s">
        <v>314</v>
      </c>
      <c r="E33" s="253">
        <v>178.79589200000001</v>
      </c>
      <c r="F33" s="250">
        <f t="shared" si="1"/>
        <v>715.18356800000004</v>
      </c>
      <c r="G33" s="573" t="s">
        <v>420</v>
      </c>
      <c r="H33" s="574"/>
      <c r="I33" s="574"/>
      <c r="J33" s="574"/>
      <c r="K33" s="574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</row>
    <row r="34" spans="1:36" s="76" customFormat="1" ht="48.75" customHeight="1">
      <c r="A34" s="243" t="s">
        <v>17</v>
      </c>
      <c r="B34" s="255" t="s">
        <v>183</v>
      </c>
      <c r="C34" s="261">
        <v>6</v>
      </c>
      <c r="D34" s="262" t="s">
        <v>314</v>
      </c>
      <c r="E34" s="253">
        <v>215.10216800000001</v>
      </c>
      <c r="F34" s="250">
        <f t="shared" si="1"/>
        <v>1290.613008</v>
      </c>
      <c r="G34" s="573" t="s">
        <v>421</v>
      </c>
      <c r="H34" s="574"/>
      <c r="I34" s="574"/>
      <c r="J34" s="574"/>
      <c r="K34" s="574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</row>
    <row r="35" spans="1:36" s="72" customFormat="1" ht="48.75" customHeight="1">
      <c r="A35" s="243" t="s">
        <v>194</v>
      </c>
      <c r="B35" s="255" t="s">
        <v>184</v>
      </c>
      <c r="C35" s="261">
        <v>2</v>
      </c>
      <c r="D35" s="262" t="s">
        <v>314</v>
      </c>
      <c r="E35" s="253">
        <v>595.48154399999999</v>
      </c>
      <c r="F35" s="250">
        <f t="shared" si="1"/>
        <v>1190.963088</v>
      </c>
      <c r="G35" s="573" t="s">
        <v>422</v>
      </c>
      <c r="H35" s="574"/>
      <c r="I35" s="574"/>
      <c r="J35" s="574"/>
      <c r="K35" s="574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</row>
    <row r="36" spans="1:36" s="76" customFormat="1" ht="48.75" customHeight="1">
      <c r="A36" s="243" t="s">
        <v>195</v>
      </c>
      <c r="B36" s="255" t="s">
        <v>185</v>
      </c>
      <c r="C36" s="261">
        <v>2</v>
      </c>
      <c r="D36" s="262" t="s">
        <v>314</v>
      </c>
      <c r="E36" s="253">
        <v>210.68142400000002</v>
      </c>
      <c r="F36" s="250">
        <f t="shared" si="1"/>
        <v>421.36284800000004</v>
      </c>
      <c r="G36" s="573" t="s">
        <v>423</v>
      </c>
      <c r="H36" s="574"/>
      <c r="I36" s="574"/>
      <c r="J36" s="574"/>
      <c r="K36" s="574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</row>
    <row r="37" spans="1:36" s="72" customFormat="1" ht="48.75" customHeight="1">
      <c r="A37" s="243" t="s">
        <v>196</v>
      </c>
      <c r="B37" s="255" t="s">
        <v>186</v>
      </c>
      <c r="C37" s="261">
        <v>4</v>
      </c>
      <c r="D37" s="262" t="s">
        <v>314</v>
      </c>
      <c r="E37" s="253">
        <v>106.29324800000002</v>
      </c>
      <c r="F37" s="250">
        <f t="shared" si="1"/>
        <v>425.17299200000008</v>
      </c>
      <c r="G37" s="573" t="s">
        <v>424</v>
      </c>
      <c r="H37" s="574"/>
      <c r="I37" s="574"/>
      <c r="J37" s="574"/>
      <c r="K37" s="574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</row>
    <row r="38" spans="1:36" s="74" customFormat="1" ht="48.75" customHeight="1">
      <c r="A38" s="243" t="s">
        <v>197</v>
      </c>
      <c r="B38" s="255" t="s">
        <v>187</v>
      </c>
      <c r="C38" s="261">
        <v>6</v>
      </c>
      <c r="D38" s="262" t="s">
        <v>314</v>
      </c>
      <c r="E38" s="253">
        <v>18.452332000000002</v>
      </c>
      <c r="F38" s="250">
        <f t="shared" si="1"/>
        <v>110.71399200000002</v>
      </c>
      <c r="G38" s="573" t="s">
        <v>425</v>
      </c>
      <c r="H38" s="574"/>
      <c r="I38" s="574"/>
      <c r="J38" s="574"/>
      <c r="K38" s="574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</row>
    <row r="39" spans="1:36" s="77" customFormat="1" ht="48.75" customHeight="1">
      <c r="A39" s="243" t="s">
        <v>384</v>
      </c>
      <c r="B39" s="255" t="s">
        <v>188</v>
      </c>
      <c r="C39" s="261">
        <v>2.76</v>
      </c>
      <c r="D39" s="262" t="s">
        <v>300</v>
      </c>
      <c r="E39" s="253">
        <v>205.320356</v>
      </c>
      <c r="F39" s="250">
        <f t="shared" si="1"/>
        <v>566.68418255999995</v>
      </c>
      <c r="G39" s="573" t="s">
        <v>426</v>
      </c>
      <c r="H39" s="574"/>
      <c r="I39" s="574"/>
      <c r="J39" s="574"/>
      <c r="K39" s="574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</row>
    <row r="40" spans="1:36" s="77" customFormat="1" ht="48.75" customHeight="1">
      <c r="A40" s="243" t="s">
        <v>385</v>
      </c>
      <c r="B40" s="255" t="s">
        <v>189</v>
      </c>
      <c r="C40" s="261">
        <v>1</v>
      </c>
      <c r="D40" s="262" t="s">
        <v>314</v>
      </c>
      <c r="E40" s="253">
        <v>631.1405840000001</v>
      </c>
      <c r="F40" s="250">
        <f t="shared" si="1"/>
        <v>631.1405840000001</v>
      </c>
      <c r="G40" s="573" t="s">
        <v>427</v>
      </c>
      <c r="H40" s="574"/>
      <c r="I40" s="574"/>
      <c r="J40" s="574"/>
      <c r="K40" s="574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</row>
    <row r="41" spans="1:36" s="77" customFormat="1" ht="48.75" customHeight="1">
      <c r="A41" s="243" t="s">
        <v>386</v>
      </c>
      <c r="B41" s="255" t="s">
        <v>190</v>
      </c>
      <c r="C41" s="261">
        <v>3.36</v>
      </c>
      <c r="D41" s="262" t="s">
        <v>300</v>
      </c>
      <c r="E41" s="253">
        <v>366.28672800000004</v>
      </c>
      <c r="F41" s="250">
        <f t="shared" si="1"/>
        <v>1230.7234060800001</v>
      </c>
      <c r="G41" s="573" t="s">
        <v>428</v>
      </c>
      <c r="H41" s="574"/>
      <c r="I41" s="574"/>
      <c r="J41" s="574"/>
      <c r="K41" s="574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</row>
    <row r="42" spans="1:36" s="77" customFormat="1" ht="48.75" customHeight="1">
      <c r="A42" s="243" t="s">
        <v>387</v>
      </c>
      <c r="B42" s="255" t="s">
        <v>191</v>
      </c>
      <c r="C42" s="261">
        <v>11.34</v>
      </c>
      <c r="D42" s="262" t="s">
        <v>300</v>
      </c>
      <c r="E42" s="253">
        <v>377.50955600000003</v>
      </c>
      <c r="F42" s="250">
        <f t="shared" si="1"/>
        <v>4280.95836504</v>
      </c>
      <c r="G42" s="573" t="s">
        <v>429</v>
      </c>
      <c r="H42" s="574"/>
      <c r="I42" s="574"/>
      <c r="J42" s="574"/>
      <c r="K42" s="574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</row>
    <row r="43" spans="1:36" s="77" customFormat="1" ht="78" customHeight="1">
      <c r="A43" s="243" t="s">
        <v>388</v>
      </c>
      <c r="B43" s="285" t="s">
        <v>327</v>
      </c>
      <c r="C43" s="261"/>
      <c r="D43" s="262" t="s">
        <v>300</v>
      </c>
      <c r="E43" s="253">
        <f>(32.74*$E$102)-((32.74*$E$102)*$D$107)</f>
        <v>39.982088000000005</v>
      </c>
      <c r="F43" s="250">
        <f t="shared" si="1"/>
        <v>0</v>
      </c>
      <c r="G43" s="573" t="s">
        <v>430</v>
      </c>
      <c r="H43" s="574"/>
      <c r="I43" s="574"/>
      <c r="J43" s="574"/>
      <c r="K43" s="574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</row>
    <row r="44" spans="1:36" s="77" customFormat="1" ht="57" customHeight="1">
      <c r="A44" s="243" t="s">
        <v>389</v>
      </c>
      <c r="B44" s="285" t="s">
        <v>328</v>
      </c>
      <c r="C44" s="261"/>
      <c r="D44" s="262" t="s">
        <v>262</v>
      </c>
      <c r="E44" s="253">
        <f>(2.31*$E$102)-((2.31*$E$102)*$D$107)</f>
        <v>2.8209720000000003</v>
      </c>
      <c r="F44" s="250">
        <f t="shared" si="1"/>
        <v>0</v>
      </c>
      <c r="G44" s="573" t="s">
        <v>431</v>
      </c>
      <c r="H44" s="574"/>
      <c r="I44" s="574"/>
      <c r="J44" s="574"/>
      <c r="K44" s="574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</row>
    <row r="45" spans="1:36" s="80" customFormat="1" ht="57" customHeight="1">
      <c r="A45" s="243" t="s">
        <v>390</v>
      </c>
      <c r="B45" s="285" t="s">
        <v>338</v>
      </c>
      <c r="C45" s="261"/>
      <c r="D45" s="262" t="s">
        <v>329</v>
      </c>
      <c r="E45" s="253">
        <f>(27.24*$E$102)-((27.24*$E$102)*$D$107)</f>
        <v>33.265487999999998</v>
      </c>
      <c r="F45" s="250">
        <f t="shared" si="1"/>
        <v>0</v>
      </c>
      <c r="G45" s="573" t="s">
        <v>432</v>
      </c>
      <c r="H45" s="574"/>
      <c r="I45" s="574"/>
      <c r="J45" s="574"/>
      <c r="K45" s="574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</row>
    <row r="46" spans="1:36" s="77" customFormat="1" ht="57" customHeight="1">
      <c r="A46" s="243" t="s">
        <v>391</v>
      </c>
      <c r="B46" s="285" t="s">
        <v>330</v>
      </c>
      <c r="C46" s="261"/>
      <c r="D46" s="262" t="s">
        <v>329</v>
      </c>
      <c r="E46" s="253">
        <f>(99.08*$E$102)-((99.08*$E$102)*$D$107)</f>
        <v>120.99649600000001</v>
      </c>
      <c r="F46" s="250">
        <f t="shared" si="1"/>
        <v>0</v>
      </c>
      <c r="G46" s="573" t="s">
        <v>433</v>
      </c>
      <c r="H46" s="574"/>
      <c r="I46" s="574"/>
      <c r="J46" s="574"/>
      <c r="K46" s="574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</row>
    <row r="47" spans="1:36" s="72" customFormat="1" ht="57" customHeight="1">
      <c r="A47" s="243" t="s">
        <v>392</v>
      </c>
      <c r="B47" s="285" t="s">
        <v>331</v>
      </c>
      <c r="C47" s="261"/>
      <c r="D47" s="262" t="s">
        <v>329</v>
      </c>
      <c r="E47" s="253">
        <f>(116.32*$E$102)-((116.32*$E$102)*$D$107)</f>
        <v>142.04998399999999</v>
      </c>
      <c r="F47" s="250">
        <f t="shared" si="1"/>
        <v>0</v>
      </c>
      <c r="G47" s="573" t="s">
        <v>433</v>
      </c>
      <c r="H47" s="574"/>
      <c r="I47" s="574"/>
      <c r="J47" s="574"/>
      <c r="K47" s="574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</row>
    <row r="48" spans="1:36" s="71" customFormat="1" ht="30.75" customHeight="1">
      <c r="A48" s="215" t="s">
        <v>18</v>
      </c>
      <c r="B48" s="219" t="s">
        <v>192</v>
      </c>
      <c r="C48" s="224"/>
      <c r="D48" s="215"/>
      <c r="E48" s="215"/>
      <c r="F48" s="280">
        <f>SUM(F49:F54)</f>
        <v>2570.3817600000007</v>
      </c>
      <c r="G48" s="591"/>
      <c r="H48" s="592"/>
      <c r="I48" s="592"/>
      <c r="J48" s="592"/>
      <c r="K48" s="592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324"/>
      <c r="AI48" s="324"/>
      <c r="AJ48" s="324"/>
    </row>
    <row r="49" spans="1:36" s="73" customFormat="1" ht="49.5">
      <c r="A49" s="244" t="s">
        <v>19</v>
      </c>
      <c r="B49" s="255" t="s">
        <v>198</v>
      </c>
      <c r="C49" s="261">
        <v>20</v>
      </c>
      <c r="D49" s="262" t="s">
        <v>262</v>
      </c>
      <c r="E49" s="253">
        <v>20.100952000000003</v>
      </c>
      <c r="F49" s="250">
        <f t="shared" ref="F49:F54" si="2">C49*E49</f>
        <v>402.01904000000007</v>
      </c>
      <c r="G49" s="573" t="s">
        <v>434</v>
      </c>
      <c r="H49" s="574"/>
      <c r="I49" s="574"/>
      <c r="J49" s="574"/>
      <c r="K49" s="574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</row>
    <row r="50" spans="1:36" s="73" customFormat="1" ht="72.75" customHeight="1">
      <c r="A50" s="244" t="s">
        <v>20</v>
      </c>
      <c r="B50" s="255" t="s">
        <v>199</v>
      </c>
      <c r="C50" s="261">
        <v>46</v>
      </c>
      <c r="D50" s="262" t="s">
        <v>262</v>
      </c>
      <c r="E50" s="253">
        <v>47.138320000000007</v>
      </c>
      <c r="F50" s="250">
        <f t="shared" si="2"/>
        <v>2168.3627200000005</v>
      </c>
      <c r="G50" s="573" t="s">
        <v>435</v>
      </c>
      <c r="H50" s="574"/>
      <c r="I50" s="574"/>
      <c r="J50" s="574"/>
      <c r="K50" s="574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</row>
    <row r="51" spans="1:36" s="73" customFormat="1" ht="75.75" customHeight="1">
      <c r="A51" s="244" t="s">
        <v>21</v>
      </c>
      <c r="B51" s="285" t="s">
        <v>200</v>
      </c>
      <c r="C51" s="261"/>
      <c r="D51" s="262" t="s">
        <v>262</v>
      </c>
      <c r="E51" s="253">
        <f>(20.19*$E$102)-((20.19*$E$102)*$D$107)</f>
        <v>24.656028000000003</v>
      </c>
      <c r="F51" s="250">
        <f t="shared" si="2"/>
        <v>0</v>
      </c>
      <c r="G51" s="573" t="s">
        <v>436</v>
      </c>
      <c r="H51" s="574"/>
      <c r="I51" s="574"/>
      <c r="J51" s="574"/>
      <c r="K51" s="574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</row>
    <row r="52" spans="1:36" s="75" customFormat="1" ht="45.75" customHeight="1">
      <c r="A52" s="244" t="s">
        <v>230</v>
      </c>
      <c r="B52" s="285" t="s">
        <v>296</v>
      </c>
      <c r="C52" s="261"/>
      <c r="D52" s="262" t="s">
        <v>262</v>
      </c>
      <c r="E52" s="253">
        <f>(37.28*$E$102)-((37.28*$E$102)*$D$107)</f>
        <v>45.526336000000001</v>
      </c>
      <c r="F52" s="250">
        <f t="shared" si="2"/>
        <v>0</v>
      </c>
      <c r="G52" s="573" t="s">
        <v>437</v>
      </c>
      <c r="H52" s="574"/>
      <c r="I52" s="574"/>
      <c r="J52" s="574"/>
      <c r="K52" s="574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</row>
    <row r="53" spans="1:36" s="79" customFormat="1" ht="42" customHeight="1">
      <c r="A53" s="244" t="s">
        <v>231</v>
      </c>
      <c r="B53" s="285" t="s">
        <v>297</v>
      </c>
      <c r="C53" s="261"/>
      <c r="D53" s="262" t="s">
        <v>73</v>
      </c>
      <c r="E53" s="319">
        <f>(59.89*$E$102)-((59.89*$E$102)*$D$107)</f>
        <v>73.137668000000005</v>
      </c>
      <c r="F53" s="250">
        <f t="shared" si="2"/>
        <v>0</v>
      </c>
      <c r="G53" s="573" t="s">
        <v>438</v>
      </c>
      <c r="H53" s="574"/>
      <c r="I53" s="574"/>
      <c r="J53" s="574"/>
      <c r="K53" s="574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6"/>
      <c r="AA53" s="326"/>
      <c r="AB53" s="326"/>
      <c r="AC53" s="326"/>
      <c r="AD53" s="326"/>
      <c r="AE53" s="326"/>
      <c r="AF53" s="326"/>
      <c r="AG53" s="326"/>
      <c r="AH53" s="326"/>
      <c r="AI53" s="326"/>
      <c r="AJ53" s="326"/>
    </row>
    <row r="54" spans="1:36" s="77" customFormat="1" ht="64.5" customHeight="1">
      <c r="A54" s="244" t="s">
        <v>232</v>
      </c>
      <c r="B54" s="285" t="s">
        <v>298</v>
      </c>
      <c r="C54" s="261"/>
      <c r="D54" s="262" t="s">
        <v>262</v>
      </c>
      <c r="E54" s="253">
        <f>(28.31*$E$102)-((28.31*$E$102)*$D$107)</f>
        <v>34.572172000000002</v>
      </c>
      <c r="F54" s="250">
        <f t="shared" si="2"/>
        <v>0</v>
      </c>
      <c r="G54" s="573" t="s">
        <v>439</v>
      </c>
      <c r="H54" s="574"/>
      <c r="I54" s="574"/>
      <c r="J54" s="574"/>
      <c r="K54" s="574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</row>
    <row r="55" spans="1:36" s="72" customFormat="1" ht="30.75" customHeight="1">
      <c r="A55" s="215" t="s">
        <v>22</v>
      </c>
      <c r="B55" s="219" t="s">
        <v>201</v>
      </c>
      <c r="C55" s="224"/>
      <c r="D55" s="215"/>
      <c r="E55" s="215"/>
      <c r="F55" s="280">
        <f>SUM(F56:F58)</f>
        <v>1695.533423808</v>
      </c>
      <c r="G55" s="591"/>
      <c r="H55" s="592"/>
      <c r="I55" s="592"/>
      <c r="J55" s="592"/>
      <c r="K55" s="592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325"/>
      <c r="AJ55" s="325"/>
    </row>
    <row r="56" spans="1:36" s="78" customFormat="1" ht="57" customHeight="1">
      <c r="A56" s="243" t="s">
        <v>23</v>
      </c>
      <c r="B56" s="255" t="s">
        <v>202</v>
      </c>
      <c r="C56" s="261">
        <v>12.208</v>
      </c>
      <c r="D56" s="262" t="s">
        <v>300</v>
      </c>
      <c r="E56" s="253">
        <v>69.889275999999995</v>
      </c>
      <c r="F56" s="250">
        <f t="shared" ref="F56:F58" si="3">C56*E56</f>
        <v>853.20828140799995</v>
      </c>
      <c r="G56" s="573" t="s">
        <v>440</v>
      </c>
      <c r="H56" s="574"/>
      <c r="I56" s="574"/>
      <c r="J56" s="574"/>
      <c r="K56" s="574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J56" s="332"/>
    </row>
    <row r="57" spans="1:36" s="72" customFormat="1" ht="87" customHeight="1">
      <c r="A57" s="243" t="s">
        <v>24</v>
      </c>
      <c r="B57" s="255" t="s">
        <v>203</v>
      </c>
      <c r="C57" s="261">
        <v>24.416</v>
      </c>
      <c r="D57" s="262" t="s">
        <v>300</v>
      </c>
      <c r="E57" s="253">
        <v>4.8603760000000005</v>
      </c>
      <c r="F57" s="250">
        <f t="shared" si="3"/>
        <v>118.67094041600001</v>
      </c>
      <c r="G57" s="573" t="s">
        <v>441</v>
      </c>
      <c r="H57" s="574"/>
      <c r="I57" s="574"/>
      <c r="J57" s="574"/>
      <c r="K57" s="574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5"/>
      <c r="AH57" s="325"/>
      <c r="AI57" s="325"/>
      <c r="AJ57" s="325"/>
    </row>
    <row r="58" spans="1:36" s="78" customFormat="1" ht="82.5" customHeight="1">
      <c r="A58" s="243" t="s">
        <v>25</v>
      </c>
      <c r="B58" s="255" t="s">
        <v>204</v>
      </c>
      <c r="C58" s="261">
        <v>24.416</v>
      </c>
      <c r="D58" s="262" t="s">
        <v>300</v>
      </c>
      <c r="E58" s="253">
        <v>29.638524</v>
      </c>
      <c r="F58" s="250">
        <f t="shared" si="3"/>
        <v>723.654201984</v>
      </c>
      <c r="G58" s="573" t="s">
        <v>442</v>
      </c>
      <c r="H58" s="574"/>
      <c r="I58" s="574"/>
      <c r="J58" s="574"/>
      <c r="K58" s="574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332"/>
      <c r="AC58" s="332"/>
      <c r="AD58" s="332"/>
      <c r="AE58" s="332"/>
      <c r="AF58" s="332"/>
      <c r="AG58" s="332"/>
      <c r="AH58" s="332"/>
      <c r="AI58" s="332"/>
      <c r="AJ58" s="332"/>
    </row>
    <row r="59" spans="1:36" s="72" customFormat="1" ht="27.75" customHeight="1">
      <c r="A59" s="215" t="s">
        <v>233</v>
      </c>
      <c r="B59" s="219" t="s">
        <v>205</v>
      </c>
      <c r="C59" s="224"/>
      <c r="D59" s="215"/>
      <c r="E59" s="215"/>
      <c r="F59" s="280">
        <f>SUM(F60:F61)</f>
        <v>7063.5395006400013</v>
      </c>
      <c r="G59" s="591"/>
      <c r="H59" s="592"/>
      <c r="I59" s="592"/>
      <c r="J59" s="592"/>
      <c r="K59" s="592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5"/>
      <c r="AH59" s="325"/>
      <c r="AI59" s="325"/>
      <c r="AJ59" s="325"/>
    </row>
    <row r="60" spans="1:36" s="78" customFormat="1" ht="99.75" customHeight="1">
      <c r="A60" s="244" t="s">
        <v>234</v>
      </c>
      <c r="B60" s="286" t="s">
        <v>206</v>
      </c>
      <c r="C60" s="261">
        <v>115.696</v>
      </c>
      <c r="D60" s="262" t="s">
        <v>300</v>
      </c>
      <c r="E60" s="253">
        <v>45.428640000000009</v>
      </c>
      <c r="F60" s="250">
        <f t="shared" ref="F60:F61" si="4">C60*E60</f>
        <v>5255.9119334400011</v>
      </c>
      <c r="G60" s="573" t="s">
        <v>443</v>
      </c>
      <c r="H60" s="574"/>
      <c r="I60" s="574"/>
      <c r="J60" s="574"/>
      <c r="K60" s="574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332"/>
      <c r="AE60" s="332"/>
      <c r="AF60" s="332"/>
      <c r="AG60" s="332"/>
      <c r="AH60" s="332"/>
      <c r="AI60" s="332"/>
      <c r="AJ60" s="332"/>
    </row>
    <row r="61" spans="1:36" s="72" customFormat="1" ht="64.5" customHeight="1">
      <c r="A61" s="244" t="s">
        <v>235</v>
      </c>
      <c r="B61" s="286" t="s">
        <v>207</v>
      </c>
      <c r="C61" s="261">
        <v>54.6</v>
      </c>
      <c r="D61" s="262" t="s">
        <v>300</v>
      </c>
      <c r="E61" s="253">
        <v>33.106732000000001</v>
      </c>
      <c r="F61" s="250">
        <f t="shared" si="4"/>
        <v>1807.6275672000002</v>
      </c>
      <c r="G61" s="573" t="s">
        <v>398</v>
      </c>
      <c r="H61" s="574"/>
      <c r="I61" s="574"/>
      <c r="J61" s="574"/>
      <c r="K61" s="574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</row>
    <row r="62" spans="1:36" s="78" customFormat="1" ht="29.25" customHeight="1">
      <c r="A62" s="215" t="s">
        <v>236</v>
      </c>
      <c r="B62" s="219" t="s">
        <v>208</v>
      </c>
      <c r="C62" s="224"/>
      <c r="D62" s="215"/>
      <c r="E62" s="215"/>
      <c r="F62" s="280">
        <f>SUM(F63:F65)</f>
        <v>20577.873390848003</v>
      </c>
      <c r="G62" s="591"/>
      <c r="H62" s="592"/>
      <c r="I62" s="592"/>
      <c r="J62" s="592"/>
      <c r="K62" s="59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32"/>
      <c r="Y62" s="332"/>
      <c r="Z62" s="332"/>
      <c r="AA62" s="332"/>
      <c r="AB62" s="332"/>
      <c r="AC62" s="332"/>
      <c r="AD62" s="332"/>
      <c r="AE62" s="332"/>
      <c r="AF62" s="332"/>
      <c r="AG62" s="332"/>
      <c r="AH62" s="332"/>
      <c r="AI62" s="332"/>
      <c r="AJ62" s="332"/>
    </row>
    <row r="63" spans="1:36" s="72" customFormat="1" ht="108.75" customHeight="1">
      <c r="A63" s="244" t="s">
        <v>237</v>
      </c>
      <c r="B63" s="286" t="s">
        <v>209</v>
      </c>
      <c r="C63" s="261">
        <v>1182.4100000000001</v>
      </c>
      <c r="D63" s="262" t="s">
        <v>300</v>
      </c>
      <c r="E63" s="253">
        <v>7.9378000000000002</v>
      </c>
      <c r="F63" s="250">
        <f t="shared" ref="F63:F65" si="5">C63*E63</f>
        <v>9385.7340980000008</v>
      </c>
      <c r="G63" s="573" t="s">
        <v>399</v>
      </c>
      <c r="H63" s="574"/>
      <c r="I63" s="574"/>
      <c r="J63" s="574"/>
      <c r="K63" s="574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5"/>
      <c r="AD63" s="325"/>
      <c r="AE63" s="325"/>
      <c r="AF63" s="325"/>
      <c r="AG63" s="325"/>
      <c r="AH63" s="325"/>
      <c r="AI63" s="325"/>
      <c r="AJ63" s="325"/>
    </row>
    <row r="64" spans="1:36" s="75" customFormat="1" ht="56.25" customHeight="1">
      <c r="A64" s="244" t="s">
        <v>238</v>
      </c>
      <c r="B64" s="286" t="s">
        <v>210</v>
      </c>
      <c r="C64" s="261">
        <v>268.93400000000003</v>
      </c>
      <c r="D64" s="262" t="s">
        <v>300</v>
      </c>
      <c r="E64" s="253">
        <v>21.322152000000003</v>
      </c>
      <c r="F64" s="250">
        <f t="shared" si="5"/>
        <v>5734.2516259680015</v>
      </c>
      <c r="G64" s="573" t="s">
        <v>400</v>
      </c>
      <c r="H64" s="574"/>
      <c r="I64" s="574"/>
      <c r="J64" s="574"/>
      <c r="K64" s="574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</row>
    <row r="65" spans="1:36" s="72" customFormat="1" ht="89.25" customHeight="1">
      <c r="A65" s="244" t="s">
        <v>393</v>
      </c>
      <c r="B65" s="286" t="s">
        <v>211</v>
      </c>
      <c r="C65" s="261">
        <v>167.64</v>
      </c>
      <c r="D65" s="262" t="s">
        <v>300</v>
      </c>
      <c r="E65" s="253">
        <v>32.557192000000001</v>
      </c>
      <c r="F65" s="250">
        <f t="shared" si="5"/>
        <v>5457.8876668799994</v>
      </c>
      <c r="G65" s="573" t="s">
        <v>317</v>
      </c>
      <c r="H65" s="574"/>
      <c r="I65" s="574"/>
      <c r="J65" s="574"/>
      <c r="K65" s="574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5"/>
      <c r="AD65" s="325"/>
      <c r="AE65" s="325"/>
      <c r="AF65" s="325"/>
      <c r="AG65" s="325"/>
      <c r="AH65" s="325"/>
      <c r="AI65" s="325"/>
      <c r="AJ65" s="325"/>
    </row>
    <row r="66" spans="1:36" s="72" customFormat="1" ht="33.75" customHeight="1">
      <c r="A66" s="215" t="s">
        <v>239</v>
      </c>
      <c r="B66" s="219" t="s">
        <v>212</v>
      </c>
      <c r="C66" s="224"/>
      <c r="D66" s="215"/>
      <c r="E66" s="215"/>
      <c r="F66" s="280">
        <f>SUM(F67)</f>
        <v>2145.0966618400003</v>
      </c>
      <c r="G66" s="591"/>
      <c r="H66" s="592"/>
      <c r="I66" s="592"/>
      <c r="J66" s="592"/>
      <c r="K66" s="592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25"/>
    </row>
    <row r="67" spans="1:36" s="76" customFormat="1" ht="54" customHeight="1">
      <c r="A67" s="244" t="s">
        <v>240</v>
      </c>
      <c r="B67" s="255" t="s">
        <v>213</v>
      </c>
      <c r="C67" s="261">
        <v>55.22</v>
      </c>
      <c r="D67" s="262" t="s">
        <v>300</v>
      </c>
      <c r="E67" s="253">
        <v>38.846372000000002</v>
      </c>
      <c r="F67" s="250">
        <f>C67*E67</f>
        <v>2145.0966618400003</v>
      </c>
      <c r="G67" s="573" t="s">
        <v>318</v>
      </c>
      <c r="H67" s="574"/>
      <c r="I67" s="574"/>
      <c r="J67" s="574"/>
      <c r="K67" s="574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</row>
    <row r="68" spans="1:36" s="76" customFormat="1" ht="33.75" customHeight="1">
      <c r="A68" s="215" t="s">
        <v>241</v>
      </c>
      <c r="B68" s="219" t="s">
        <v>214</v>
      </c>
      <c r="C68" s="224"/>
      <c r="D68" s="215"/>
      <c r="E68" s="215"/>
      <c r="F68" s="280">
        <f>SUM(F69:F72)</f>
        <v>118967.59729972802</v>
      </c>
      <c r="G68" s="591"/>
      <c r="H68" s="592"/>
      <c r="I68" s="592"/>
      <c r="J68" s="592"/>
      <c r="K68" s="592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</row>
    <row r="69" spans="1:36" s="76" customFormat="1" ht="83.25" customHeight="1">
      <c r="A69" s="244" t="s">
        <v>242</v>
      </c>
      <c r="B69" s="255" t="s">
        <v>215</v>
      </c>
      <c r="C69" s="261">
        <v>58.51</v>
      </c>
      <c r="D69" s="262" t="s">
        <v>73</v>
      </c>
      <c r="E69" s="253">
        <v>85.838148000000018</v>
      </c>
      <c r="F69" s="250">
        <f t="shared" ref="F69:F72" si="6">C69*E69</f>
        <v>5022.3900394800012</v>
      </c>
      <c r="G69" s="573" t="s">
        <v>319</v>
      </c>
      <c r="H69" s="574"/>
      <c r="I69" s="574"/>
      <c r="J69" s="574"/>
      <c r="K69" s="574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</row>
    <row r="70" spans="1:36" s="76" customFormat="1" ht="82.5" customHeight="1">
      <c r="A70" s="244" t="s">
        <v>394</v>
      </c>
      <c r="B70" s="286" t="s">
        <v>216</v>
      </c>
      <c r="C70" s="261">
        <v>261.89999999999998</v>
      </c>
      <c r="D70" s="262" t="s">
        <v>300</v>
      </c>
      <c r="E70" s="253">
        <v>75.965478720000007</v>
      </c>
      <c r="F70" s="250">
        <f t="shared" si="6"/>
        <v>19895.358876768001</v>
      </c>
      <c r="G70" s="573" t="s">
        <v>401</v>
      </c>
      <c r="H70" s="574"/>
      <c r="I70" s="574"/>
      <c r="J70" s="574"/>
      <c r="K70" s="574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</row>
    <row r="71" spans="1:36" s="69" customFormat="1" ht="42" customHeight="1">
      <c r="A71" s="244" t="s">
        <v>395</v>
      </c>
      <c r="B71" s="255" t="s">
        <v>217</v>
      </c>
      <c r="C71" s="261">
        <v>3382.27</v>
      </c>
      <c r="D71" s="262" t="s">
        <v>300</v>
      </c>
      <c r="E71" s="253">
        <v>27.806724000000003</v>
      </c>
      <c r="F71" s="250">
        <f t="shared" si="6"/>
        <v>94049.848383480014</v>
      </c>
      <c r="G71" s="573" t="s">
        <v>320</v>
      </c>
      <c r="H71" s="574"/>
      <c r="I71" s="574"/>
      <c r="J71" s="574"/>
      <c r="K71" s="574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333"/>
      <c r="Z71" s="333"/>
      <c r="AA71" s="333"/>
      <c r="AB71" s="333"/>
      <c r="AC71" s="333"/>
      <c r="AD71" s="333"/>
      <c r="AE71" s="333"/>
      <c r="AF71" s="333"/>
      <c r="AG71" s="333"/>
      <c r="AH71" s="333"/>
      <c r="AI71" s="333"/>
      <c r="AJ71" s="333"/>
    </row>
    <row r="72" spans="1:36" ht="69" customHeight="1">
      <c r="A72" s="244" t="s">
        <v>396</v>
      </c>
      <c r="B72" s="285" t="s">
        <v>333</v>
      </c>
      <c r="C72" s="261"/>
      <c r="D72" s="262" t="s">
        <v>300</v>
      </c>
      <c r="E72" s="253">
        <f>(52.04*$E$102)-((52.04*$E$102)*$D$107)</f>
        <v>63.551248000000001</v>
      </c>
      <c r="F72" s="250">
        <f t="shared" si="6"/>
        <v>0</v>
      </c>
      <c r="G72" s="573" t="s">
        <v>402</v>
      </c>
      <c r="H72" s="574"/>
      <c r="I72" s="574"/>
      <c r="J72" s="574"/>
      <c r="K72" s="602"/>
    </row>
    <row r="73" spans="1:36" s="13" customFormat="1" ht="69" customHeight="1">
      <c r="A73" s="244" t="s">
        <v>397</v>
      </c>
      <c r="B73" s="285" t="s">
        <v>348</v>
      </c>
      <c r="C73" s="261"/>
      <c r="D73" s="262" t="s">
        <v>73</v>
      </c>
      <c r="E73" s="253">
        <v>510.24576741001727</v>
      </c>
      <c r="F73" s="250">
        <f t="shared" ref="F73" si="7">C73*E73</f>
        <v>0</v>
      </c>
      <c r="G73" s="573" t="s">
        <v>403</v>
      </c>
      <c r="H73" s="574"/>
      <c r="I73" s="574"/>
      <c r="J73" s="574"/>
      <c r="K73" s="602"/>
    </row>
    <row r="74" spans="1:36" ht="32.25" customHeight="1">
      <c r="A74" s="215" t="s">
        <v>243</v>
      </c>
      <c r="B74" s="219" t="s">
        <v>218</v>
      </c>
      <c r="C74" s="224"/>
      <c r="D74" s="215"/>
      <c r="E74" s="215"/>
      <c r="F74" s="280">
        <f>SUM(F75:F78)</f>
        <v>54132.009669400002</v>
      </c>
      <c r="G74" s="591"/>
      <c r="H74" s="592"/>
      <c r="I74" s="592"/>
      <c r="J74" s="592"/>
      <c r="K74" s="601"/>
    </row>
    <row r="75" spans="1:36" ht="39" customHeight="1">
      <c r="A75" s="244" t="s">
        <v>244</v>
      </c>
      <c r="B75" s="255" t="s">
        <v>219</v>
      </c>
      <c r="C75" s="261">
        <v>7</v>
      </c>
      <c r="D75" s="262" t="s">
        <v>314</v>
      </c>
      <c r="E75" s="253">
        <v>245.88862</v>
      </c>
      <c r="F75" s="250">
        <f t="shared" ref="F75:F78" si="8">C75*E75</f>
        <v>1721.2203400000001</v>
      </c>
      <c r="G75" s="573" t="s">
        <v>321</v>
      </c>
      <c r="H75" s="574"/>
      <c r="I75" s="574"/>
      <c r="J75" s="574"/>
      <c r="K75" s="602"/>
    </row>
    <row r="76" spans="1:36" ht="66.75" customHeight="1">
      <c r="A76" s="244" t="s">
        <v>245</v>
      </c>
      <c r="B76" s="286" t="s">
        <v>220</v>
      </c>
      <c r="C76" s="261">
        <v>498.37</v>
      </c>
      <c r="D76" s="262" t="s">
        <v>300</v>
      </c>
      <c r="E76" s="253">
        <v>33.424244000000002</v>
      </c>
      <c r="F76" s="250">
        <f t="shared" si="8"/>
        <v>16657.64048228</v>
      </c>
      <c r="G76" s="573" t="s">
        <v>404</v>
      </c>
      <c r="H76" s="574"/>
      <c r="I76" s="574"/>
      <c r="J76" s="574"/>
      <c r="K76" s="602"/>
    </row>
    <row r="77" spans="1:36" ht="74.25" customHeight="1">
      <c r="A77" s="244" t="s">
        <v>246</v>
      </c>
      <c r="B77" s="286" t="s">
        <v>221</v>
      </c>
      <c r="C77" s="261">
        <v>656.83600000000001</v>
      </c>
      <c r="D77" s="262" t="s">
        <v>300</v>
      </c>
      <c r="E77" s="253">
        <v>40.116420000000005</v>
      </c>
      <c r="F77" s="250">
        <f t="shared" si="8"/>
        <v>26349.908847120005</v>
      </c>
      <c r="G77" s="573" t="s">
        <v>405</v>
      </c>
      <c r="H77" s="574"/>
      <c r="I77" s="574"/>
      <c r="J77" s="574"/>
      <c r="K77" s="602"/>
    </row>
    <row r="78" spans="1:36" ht="63.75" customHeight="1">
      <c r="A78" s="244" t="s">
        <v>332</v>
      </c>
      <c r="B78" s="255" t="s">
        <v>222</v>
      </c>
      <c r="C78" s="261">
        <v>1232</v>
      </c>
      <c r="D78" s="262" t="s">
        <v>263</v>
      </c>
      <c r="E78" s="253">
        <v>7.6325000000000003</v>
      </c>
      <c r="F78" s="250">
        <f t="shared" si="8"/>
        <v>9403.24</v>
      </c>
      <c r="G78" s="573" t="s">
        <v>335</v>
      </c>
      <c r="H78" s="574"/>
      <c r="I78" s="574"/>
      <c r="J78" s="574"/>
      <c r="K78" s="602"/>
    </row>
    <row r="79" spans="1:36" ht="30.75" customHeight="1">
      <c r="A79" s="215" t="s">
        <v>247</v>
      </c>
      <c r="B79" s="219" t="s">
        <v>223</v>
      </c>
      <c r="C79" s="224"/>
      <c r="D79" s="215"/>
      <c r="E79" s="215"/>
      <c r="F79" s="280">
        <f>SUM(F80:F81)</f>
        <v>27812.536912000007</v>
      </c>
      <c r="G79" s="591"/>
      <c r="H79" s="592"/>
      <c r="I79" s="592"/>
      <c r="J79" s="592"/>
      <c r="K79" s="601"/>
    </row>
    <row r="80" spans="1:36" ht="56.25" customHeight="1">
      <c r="A80" s="244" t="s">
        <v>248</v>
      </c>
      <c r="B80" s="255" t="s">
        <v>224</v>
      </c>
      <c r="C80" s="261">
        <v>124</v>
      </c>
      <c r="D80" s="262" t="s">
        <v>262</v>
      </c>
      <c r="E80" s="253">
        <v>209.11828800000004</v>
      </c>
      <c r="F80" s="250">
        <f t="shared" ref="F80:F81" si="9">C80*E80</f>
        <v>25930.667712000006</v>
      </c>
      <c r="G80" s="573" t="s">
        <v>322</v>
      </c>
      <c r="H80" s="574"/>
      <c r="I80" s="574"/>
      <c r="J80" s="574"/>
      <c r="K80" s="602"/>
    </row>
    <row r="81" spans="1:11" ht="53.25" customHeight="1">
      <c r="A81" s="244" t="s">
        <v>249</v>
      </c>
      <c r="B81" s="286" t="s">
        <v>225</v>
      </c>
      <c r="C81" s="261">
        <v>50</v>
      </c>
      <c r="D81" s="262" t="s">
        <v>262</v>
      </c>
      <c r="E81" s="253">
        <v>37.637384000000004</v>
      </c>
      <c r="F81" s="250">
        <f t="shared" si="9"/>
        <v>1881.8692000000003</v>
      </c>
      <c r="G81" s="573" t="s">
        <v>323</v>
      </c>
      <c r="H81" s="574"/>
      <c r="I81" s="574"/>
      <c r="J81" s="574"/>
      <c r="K81" s="602"/>
    </row>
    <row r="82" spans="1:11" s="13" customFormat="1" ht="53.25" customHeight="1">
      <c r="A82" s="244" t="s">
        <v>250</v>
      </c>
      <c r="B82" s="285" t="s">
        <v>349</v>
      </c>
      <c r="C82" s="261"/>
      <c r="D82" s="262" t="s">
        <v>262</v>
      </c>
      <c r="E82" s="253">
        <v>16.225520394176833</v>
      </c>
      <c r="F82" s="250">
        <f t="shared" ref="F82:F83" si="10">C82*E82</f>
        <v>0</v>
      </c>
      <c r="G82" s="573" t="s">
        <v>406</v>
      </c>
      <c r="H82" s="574"/>
      <c r="I82" s="574"/>
      <c r="J82" s="574"/>
      <c r="K82" s="602"/>
    </row>
    <row r="83" spans="1:11" s="13" customFormat="1" ht="53.25" customHeight="1">
      <c r="A83" s="244" t="s">
        <v>261</v>
      </c>
      <c r="B83" s="285" t="s">
        <v>350</v>
      </c>
      <c r="C83" s="261"/>
      <c r="D83" s="262" t="s">
        <v>314</v>
      </c>
      <c r="E83" s="253">
        <v>30.24310833906031</v>
      </c>
      <c r="F83" s="250">
        <f t="shared" si="10"/>
        <v>0</v>
      </c>
      <c r="G83" s="573" t="s">
        <v>406</v>
      </c>
      <c r="H83" s="574"/>
      <c r="I83" s="574"/>
      <c r="J83" s="574"/>
      <c r="K83" s="602"/>
    </row>
    <row r="84" spans="1:11" ht="28.5" customHeight="1">
      <c r="A84" s="215" t="s">
        <v>251</v>
      </c>
      <c r="B84" s="219" t="s">
        <v>226</v>
      </c>
      <c r="C84" s="224"/>
      <c r="D84" s="215"/>
      <c r="E84" s="215"/>
      <c r="F84" s="280">
        <f>SUM(F85)</f>
        <v>15073.778153759999</v>
      </c>
      <c r="G84" s="591"/>
      <c r="H84" s="592"/>
      <c r="I84" s="592"/>
      <c r="J84" s="592"/>
      <c r="K84" s="601"/>
    </row>
    <row r="85" spans="1:11" ht="81.75" customHeight="1">
      <c r="A85" s="244" t="s">
        <v>252</v>
      </c>
      <c r="B85" s="255" t="s">
        <v>227</v>
      </c>
      <c r="C85" s="261">
        <v>23.08</v>
      </c>
      <c r="D85" s="262" t="s">
        <v>300</v>
      </c>
      <c r="E85" s="253">
        <v>653.10997199999997</v>
      </c>
      <c r="F85" s="250">
        <f>C85*E85</f>
        <v>15073.778153759999</v>
      </c>
      <c r="G85" s="573" t="s">
        <v>324</v>
      </c>
      <c r="H85" s="574"/>
      <c r="I85" s="574"/>
      <c r="J85" s="574"/>
      <c r="K85" s="602"/>
    </row>
    <row r="86" spans="1:11" ht="28.5" customHeight="1">
      <c r="A86" s="215" t="s">
        <v>253</v>
      </c>
      <c r="B86" s="219" t="s">
        <v>228</v>
      </c>
      <c r="C86" s="224"/>
      <c r="D86" s="215"/>
      <c r="E86" s="215"/>
      <c r="F86" s="280">
        <f>SUM(F87)</f>
        <v>592.67424944000004</v>
      </c>
      <c r="G86" s="591"/>
      <c r="H86" s="592"/>
      <c r="I86" s="592"/>
      <c r="J86" s="592"/>
      <c r="K86" s="601"/>
    </row>
    <row r="87" spans="1:11" ht="45" customHeight="1">
      <c r="A87" s="244" t="s">
        <v>254</v>
      </c>
      <c r="B87" s="255" t="s">
        <v>229</v>
      </c>
      <c r="C87" s="261">
        <v>51.74</v>
      </c>
      <c r="D87" s="262" t="s">
        <v>300</v>
      </c>
      <c r="E87" s="253">
        <v>11.454856000000001</v>
      </c>
      <c r="F87" s="250">
        <f>C87*E87</f>
        <v>592.67424944000004</v>
      </c>
      <c r="G87" s="573" t="s">
        <v>325</v>
      </c>
      <c r="H87" s="574"/>
      <c r="I87" s="574"/>
      <c r="J87" s="574"/>
      <c r="K87" s="602"/>
    </row>
    <row r="88" spans="1:11">
      <c r="D88" s="268"/>
    </row>
    <row r="89" spans="1:11">
      <c r="E89" s="298"/>
    </row>
    <row r="96" spans="1:11" s="13" customFormat="1"/>
    <row r="97" spans="3:10" s="13" customFormat="1"/>
    <row r="98" spans="3:10" s="13" customFormat="1"/>
    <row r="99" spans="3:10" s="13" customFormat="1"/>
    <row r="100" spans="3:10" s="13" customFormat="1"/>
    <row r="101" spans="3:10" s="13" customFormat="1">
      <c r="C101" s="46" t="s">
        <v>303</v>
      </c>
      <c r="D101" s="3"/>
    </row>
    <row r="102" spans="3:10" s="13" customFormat="1">
      <c r="C102" s="46" t="s">
        <v>304</v>
      </c>
      <c r="D102" s="3"/>
      <c r="E102" s="238">
        <v>1.2212000000000001</v>
      </c>
    </row>
    <row r="103" spans="3:10" s="13" customFormat="1">
      <c r="C103" s="46"/>
    </row>
    <row r="104" spans="3:10" s="13" customFormat="1">
      <c r="C104" s="46" t="s">
        <v>301</v>
      </c>
      <c r="D104" s="1"/>
      <c r="J104" s="2"/>
    </row>
    <row r="105" spans="3:10" s="13" customFormat="1">
      <c r="C105" s="46" t="s">
        <v>302</v>
      </c>
      <c r="D105" s="1"/>
      <c r="J105" s="3"/>
    </row>
    <row r="106" spans="3:10" s="13" customFormat="1"/>
    <row r="107" spans="3:10" s="13" customFormat="1" ht="31.5" customHeight="1">
      <c r="D107" s="237"/>
    </row>
    <row r="108" spans="3:10" s="13" customFormat="1">
      <c r="D108" s="236"/>
    </row>
    <row r="109" spans="3:10" s="13" customFormat="1"/>
    <row r="110" spans="3:10" s="13" customFormat="1"/>
    <row r="111" spans="3:10" s="13" customFormat="1"/>
    <row r="112" spans="3:10" s="13" customFormat="1"/>
    <row r="113" spans="3:3" s="13" customFormat="1">
      <c r="C113" s="13" t="s">
        <v>48</v>
      </c>
    </row>
    <row r="114" spans="3:3" s="13" customFormat="1"/>
    <row r="115" spans="3:3" s="13" customFormat="1">
      <c r="C115" s="13" t="s">
        <v>49</v>
      </c>
    </row>
    <row r="116" spans="3:3" s="13" customFormat="1">
      <c r="C116" s="13" t="s">
        <v>50</v>
      </c>
    </row>
    <row r="117" spans="3:3" s="13" customFormat="1">
      <c r="C117" s="4">
        <f xml:space="preserve"> 29% - 1.22%</f>
        <v>0.27779999999999999</v>
      </c>
    </row>
    <row r="118" spans="3:3" s="13" customFormat="1"/>
    <row r="119" spans="3:3" s="13" customFormat="1"/>
    <row r="120" spans="3:3" s="13" customFormat="1"/>
  </sheetData>
  <mergeCells count="87">
    <mergeCell ref="G87:K87"/>
    <mergeCell ref="G75:K75"/>
    <mergeCell ref="G77:K77"/>
    <mergeCell ref="G79:K79"/>
    <mergeCell ref="G80:K80"/>
    <mergeCell ref="G81:K81"/>
    <mergeCell ref="G76:K76"/>
    <mergeCell ref="G78:K78"/>
    <mergeCell ref="G84:K84"/>
    <mergeCell ref="G85:K85"/>
    <mergeCell ref="G82:K82"/>
    <mergeCell ref="G83:K83"/>
    <mergeCell ref="G30:K30"/>
    <mergeCell ref="G31:K31"/>
    <mergeCell ref="G38:K38"/>
    <mergeCell ref="G39:K39"/>
    <mergeCell ref="G86:K86"/>
    <mergeCell ref="G40:K40"/>
    <mergeCell ref="G41:K41"/>
    <mergeCell ref="G32:K32"/>
    <mergeCell ref="G33:K33"/>
    <mergeCell ref="G34:K34"/>
    <mergeCell ref="G35:K35"/>
    <mergeCell ref="G36:K36"/>
    <mergeCell ref="G37:K37"/>
    <mergeCell ref="G42:K42"/>
    <mergeCell ref="G50:K50"/>
    <mergeCell ref="G53:K53"/>
    <mergeCell ref="G48:K48"/>
    <mergeCell ref="G49:K49"/>
    <mergeCell ref="G51:K51"/>
    <mergeCell ref="G52:K52"/>
    <mergeCell ref="G43:K43"/>
    <mergeCell ref="G44:K44"/>
    <mergeCell ref="G45:K45"/>
    <mergeCell ref="G46:K46"/>
    <mergeCell ref="G47:K47"/>
    <mergeCell ref="G74:K74"/>
    <mergeCell ref="G71:K71"/>
    <mergeCell ref="G60:K60"/>
    <mergeCell ref="G62:K62"/>
    <mergeCell ref="G66:K66"/>
    <mergeCell ref="G68:K68"/>
    <mergeCell ref="G61:K61"/>
    <mergeCell ref="G63:K63"/>
    <mergeCell ref="G64:K64"/>
    <mergeCell ref="G65:K65"/>
    <mergeCell ref="G67:K67"/>
    <mergeCell ref="G73:K73"/>
    <mergeCell ref="G70:K70"/>
    <mergeCell ref="G69:K69"/>
    <mergeCell ref="G72:K72"/>
    <mergeCell ref="G54:K54"/>
    <mergeCell ref="G55:K55"/>
    <mergeCell ref="G57:K57"/>
    <mergeCell ref="G58:K58"/>
    <mergeCell ref="G59:K59"/>
    <mergeCell ref="G56:K56"/>
    <mergeCell ref="G25:K25"/>
    <mergeCell ref="G26:K26"/>
    <mergeCell ref="A4:J4"/>
    <mergeCell ref="G19:K19"/>
    <mergeCell ref="G16:K16"/>
    <mergeCell ref="G18:K18"/>
    <mergeCell ref="G14:K14"/>
    <mergeCell ref="G15:K15"/>
    <mergeCell ref="G17:K17"/>
    <mergeCell ref="A11:K11"/>
    <mergeCell ref="A5:K5"/>
    <mergeCell ref="A6:K6"/>
    <mergeCell ref="A7:K7"/>
    <mergeCell ref="G27:K27"/>
    <mergeCell ref="G28:K28"/>
    <mergeCell ref="G20:K20"/>
    <mergeCell ref="G29:K29"/>
    <mergeCell ref="A9:K10"/>
    <mergeCell ref="F12:F13"/>
    <mergeCell ref="G12:K13"/>
    <mergeCell ref="A12:A13"/>
    <mergeCell ref="B12:B13"/>
    <mergeCell ref="C12:C13"/>
    <mergeCell ref="D12:D13"/>
    <mergeCell ref="E12:E13"/>
    <mergeCell ref="G21:K21"/>
    <mergeCell ref="G22:K22"/>
    <mergeCell ref="G23:K23"/>
    <mergeCell ref="G24:K24"/>
  </mergeCells>
  <phoneticPr fontId="67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35" orientation="portrait" r:id="rId1"/>
  <headerFooter>
    <oddFooter>Página &amp;P de &amp;N</oddFooter>
  </headerFooter>
  <rowBreaks count="2" manualBreakCount="2">
    <brk id="47" max="10" man="1"/>
    <brk id="73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36"/>
  <sheetViews>
    <sheetView view="pageBreakPreview" topLeftCell="A52" zoomScale="70" zoomScaleNormal="85" zoomScaleSheetLayoutView="70" workbookViewId="0">
      <selection activeCell="M20" sqref="M20"/>
    </sheetView>
  </sheetViews>
  <sheetFormatPr defaultColWidth="9.140625" defaultRowHeight="15"/>
  <cols>
    <col min="1" max="1" width="21.140625" style="13" customWidth="1"/>
    <col min="2" max="2" width="16.5703125" style="13" customWidth="1"/>
    <col min="3" max="3" width="76.28515625" style="13" customWidth="1"/>
    <col min="4" max="4" width="13.7109375" style="13" customWidth="1"/>
    <col min="5" max="5" width="16" style="13" customWidth="1"/>
    <col min="6" max="6" width="2.28515625" style="13" hidden="1" customWidth="1"/>
    <col min="7" max="7" width="37.85546875" style="13" bestFit="1" customWidth="1"/>
    <col min="8" max="8" width="41.5703125" style="13" customWidth="1"/>
    <col min="9" max="9" width="2.85546875" style="13" customWidth="1"/>
    <col min="10" max="10" width="23.85546875" style="293" customWidth="1"/>
    <col min="11" max="11" width="1.85546875" style="13" customWidth="1"/>
    <col min="12" max="12" width="22.28515625" style="351" customWidth="1"/>
    <col min="13" max="16384" width="9.140625" style="13"/>
  </cols>
  <sheetData>
    <row r="1" spans="1:12" s="51" customFormat="1">
      <c r="A1" s="52"/>
      <c r="B1" s="52"/>
      <c r="C1" s="53"/>
      <c r="D1" s="54"/>
      <c r="E1" s="55"/>
      <c r="F1" s="55"/>
      <c r="G1" s="56"/>
      <c r="H1" s="56"/>
      <c r="J1" s="345"/>
      <c r="L1" s="92"/>
    </row>
    <row r="2" spans="1:12" s="51" customFormat="1">
      <c r="A2" s="52"/>
      <c r="B2" s="52"/>
      <c r="C2" s="53"/>
      <c r="D2" s="54"/>
      <c r="E2" s="55"/>
      <c r="F2" s="55"/>
      <c r="G2" s="56"/>
      <c r="H2" s="56"/>
      <c r="J2" s="345"/>
      <c r="L2" s="92"/>
    </row>
    <row r="3" spans="1:12" s="51" customFormat="1">
      <c r="A3" s="52"/>
      <c r="B3" s="52"/>
      <c r="C3" s="53"/>
      <c r="D3" s="54"/>
      <c r="E3" s="55"/>
      <c r="F3" s="55"/>
      <c r="G3" s="56"/>
      <c r="H3" s="56"/>
      <c r="J3" s="345"/>
      <c r="L3" s="92"/>
    </row>
    <row r="4" spans="1:12" s="51" customFormat="1">
      <c r="A4" s="526"/>
      <c r="B4" s="526"/>
      <c r="C4" s="526"/>
      <c r="D4" s="526"/>
      <c r="E4" s="526"/>
      <c r="F4" s="526"/>
      <c r="G4" s="526"/>
      <c r="H4" s="526"/>
      <c r="J4" s="345"/>
      <c r="L4" s="92"/>
    </row>
    <row r="5" spans="1:12" s="51" customFormat="1" ht="15.75">
      <c r="A5" s="527" t="s">
        <v>27</v>
      </c>
      <c r="B5" s="527"/>
      <c r="C5" s="527"/>
      <c r="D5" s="527"/>
      <c r="E5" s="527"/>
      <c r="F5" s="527"/>
      <c r="G5" s="527"/>
      <c r="H5" s="527"/>
      <c r="J5" s="345"/>
      <c r="L5" s="92"/>
    </row>
    <row r="6" spans="1:12" s="51" customFormat="1" ht="15.75">
      <c r="A6" s="527" t="s">
        <v>28</v>
      </c>
      <c r="B6" s="527"/>
      <c r="C6" s="527"/>
      <c r="D6" s="527"/>
      <c r="E6" s="527"/>
      <c r="F6" s="527"/>
      <c r="G6" s="527"/>
      <c r="H6" s="527"/>
      <c r="J6" s="345"/>
      <c r="L6" s="92"/>
    </row>
    <row r="7" spans="1:12" s="51" customFormat="1" ht="15.75">
      <c r="A7" s="527" t="s">
        <v>29</v>
      </c>
      <c r="B7" s="527"/>
      <c r="C7" s="527"/>
      <c r="D7" s="527"/>
      <c r="E7" s="527"/>
      <c r="F7" s="527"/>
      <c r="G7" s="527"/>
      <c r="H7" s="527"/>
      <c r="J7" s="345"/>
      <c r="L7" s="92"/>
    </row>
    <row r="8" spans="1:12" s="51" customFormat="1" ht="15.75">
      <c r="A8" s="277"/>
      <c r="B8" s="277"/>
      <c r="C8" s="277"/>
      <c r="D8" s="277"/>
      <c r="E8" s="277"/>
      <c r="F8" s="277"/>
      <c r="G8" s="277"/>
      <c r="H8" s="277"/>
      <c r="J8" s="345"/>
      <c r="L8" s="92"/>
    </row>
    <row r="9" spans="1:12" ht="15" customHeight="1">
      <c r="A9" s="528" t="s">
        <v>110</v>
      </c>
      <c r="B9" s="528"/>
      <c r="C9" s="528"/>
      <c r="D9" s="528"/>
      <c r="E9" s="528"/>
      <c r="F9" s="528"/>
      <c r="G9" s="528"/>
      <c r="H9" s="528"/>
    </row>
    <row r="10" spans="1:12" ht="15" customHeight="1">
      <c r="A10" s="529"/>
      <c r="B10" s="529"/>
      <c r="C10" s="529"/>
      <c r="D10" s="529"/>
      <c r="E10" s="529"/>
      <c r="F10" s="529"/>
      <c r="G10" s="529"/>
      <c r="H10" s="529"/>
    </row>
    <row r="11" spans="1:12" s="26" customFormat="1" ht="16.5">
      <c r="A11" s="22" t="s">
        <v>30</v>
      </c>
      <c r="B11" s="23"/>
      <c r="C11" s="24" t="s">
        <v>161</v>
      </c>
      <c r="D11" s="547"/>
      <c r="E11" s="547"/>
      <c r="F11" s="234"/>
      <c r="G11" s="294" t="s">
        <v>346</v>
      </c>
      <c r="H11" s="235" t="s">
        <v>306</v>
      </c>
      <c r="J11" s="346"/>
      <c r="L11" s="352"/>
    </row>
    <row r="12" spans="1:12" s="26" customFormat="1" ht="16.5">
      <c r="A12" s="27" t="s">
        <v>31</v>
      </c>
      <c r="B12" s="28"/>
      <c r="C12" s="531" t="s">
        <v>162</v>
      </c>
      <c r="D12" s="531"/>
      <c r="E12" s="531"/>
      <c r="F12" s="531"/>
      <c r="G12" s="531"/>
      <c r="H12" s="29" t="s">
        <v>347</v>
      </c>
      <c r="J12" s="346"/>
      <c r="L12" s="352"/>
    </row>
    <row r="13" spans="1:12" s="26" customFormat="1" ht="20.25">
      <c r="A13" s="27" t="s">
        <v>34</v>
      </c>
      <c r="B13" s="28"/>
      <c r="C13" s="33" t="s">
        <v>163</v>
      </c>
      <c r="D13" s="33"/>
      <c r="E13" s="33"/>
      <c r="F13" s="33"/>
      <c r="G13" s="186"/>
      <c r="H13" s="29"/>
      <c r="J13" s="346"/>
      <c r="L13" s="352"/>
    </row>
    <row r="14" spans="1:12" s="26" customFormat="1" ht="40.5" customHeight="1">
      <c r="A14" s="34" t="s">
        <v>37</v>
      </c>
      <c r="B14" s="35"/>
      <c r="C14" s="33" t="s">
        <v>166</v>
      </c>
      <c r="D14" s="612"/>
      <c r="E14" s="612"/>
      <c r="F14" s="33"/>
      <c r="G14" s="185"/>
      <c r="H14" s="36"/>
      <c r="J14" s="346"/>
      <c r="L14" s="352"/>
    </row>
    <row r="15" spans="1:12" s="26" customFormat="1" ht="16.5">
      <c r="A15" s="27" t="s">
        <v>39</v>
      </c>
      <c r="B15" s="28"/>
      <c r="C15" s="33" t="s">
        <v>164</v>
      </c>
      <c r="D15" s="612" t="s">
        <v>165</v>
      </c>
      <c r="E15" s="612"/>
      <c r="F15" s="33"/>
      <c r="G15" s="613" t="s">
        <v>167</v>
      </c>
      <c r="H15" s="613"/>
      <c r="J15" s="346"/>
      <c r="L15" s="352"/>
    </row>
    <row r="16" spans="1:12" s="26" customFormat="1" ht="16.5">
      <c r="A16" s="39"/>
      <c r="B16" s="40"/>
      <c r="C16" s="41"/>
      <c r="D16" s="41"/>
      <c r="E16" s="41"/>
      <c r="F16" s="41"/>
      <c r="G16" s="42"/>
      <c r="H16" s="42"/>
      <c r="J16" s="346"/>
      <c r="L16" s="352"/>
    </row>
    <row r="17" spans="1:12" s="62" customFormat="1" ht="15.75">
      <c r="A17" s="530" t="s">
        <v>44</v>
      </c>
      <c r="B17" s="530" t="s">
        <v>51</v>
      </c>
      <c r="C17" s="546" t="s">
        <v>0</v>
      </c>
      <c r="D17" s="533" t="s">
        <v>92</v>
      </c>
      <c r="E17" s="534"/>
      <c r="F17" s="534"/>
      <c r="G17" s="534"/>
      <c r="H17" s="535"/>
      <c r="J17" s="347"/>
      <c r="L17" s="353"/>
    </row>
    <row r="18" spans="1:12" s="62" customFormat="1" ht="84" customHeight="1">
      <c r="A18" s="530"/>
      <c r="B18" s="530"/>
      <c r="C18" s="546"/>
      <c r="D18" s="63" t="s">
        <v>26</v>
      </c>
      <c r="E18" s="278" t="s">
        <v>45</v>
      </c>
      <c r="F18" s="64" t="s">
        <v>106</v>
      </c>
      <c r="G18" s="64" t="s">
        <v>107</v>
      </c>
      <c r="H18" s="279" t="s">
        <v>47</v>
      </c>
      <c r="J18" s="347"/>
      <c r="L18" s="353"/>
    </row>
    <row r="19" spans="1:12" s="66" customFormat="1" ht="26.25" customHeight="1">
      <c r="A19" s="215" t="s">
        <v>1</v>
      </c>
      <c r="B19" s="215"/>
      <c r="C19" s="219" t="s">
        <v>170</v>
      </c>
      <c r="D19" s="215"/>
      <c r="E19" s="215"/>
      <c r="F19" s="218"/>
      <c r="G19" s="218"/>
      <c r="H19" s="280">
        <v>7329.9843360000004</v>
      </c>
      <c r="J19" s="359">
        <v>7329.9843360000004</v>
      </c>
      <c r="K19" s="354"/>
      <c r="L19" s="358" t="str">
        <f>IF(H19=J19,"OK","FALSO")</f>
        <v>OK</v>
      </c>
    </row>
    <row r="20" spans="1:12" s="67" customFormat="1" ht="18.75">
      <c r="A20" s="244" t="s">
        <v>3</v>
      </c>
      <c r="B20" s="249" t="s">
        <v>255</v>
      </c>
      <c r="C20" s="255" t="s">
        <v>168</v>
      </c>
      <c r="D20" s="261">
        <v>6</v>
      </c>
      <c r="E20" s="262" t="s">
        <v>300</v>
      </c>
      <c r="F20" s="245"/>
      <c r="G20" s="253">
        <v>466.52199999999999</v>
      </c>
      <c r="H20" s="250">
        <v>2799.1369439999999</v>
      </c>
      <c r="J20" s="360">
        <v>2799.1369439999999</v>
      </c>
      <c r="K20" s="361"/>
      <c r="L20" s="358" t="str">
        <f t="shared" ref="L20:L83" si="0">IF(H20=J20,"OK","FALSO")</f>
        <v>OK</v>
      </c>
    </row>
    <row r="21" spans="1:12" s="67" customFormat="1" ht="33">
      <c r="A21" s="244" t="s">
        <v>4</v>
      </c>
      <c r="B21" s="249">
        <v>93207</v>
      </c>
      <c r="C21" s="255" t="s">
        <v>80</v>
      </c>
      <c r="D21" s="261">
        <v>6</v>
      </c>
      <c r="E21" s="262" t="s">
        <v>300</v>
      </c>
      <c r="F21" s="245"/>
      <c r="G21" s="253">
        <v>755.13879999999995</v>
      </c>
      <c r="H21" s="250">
        <v>4530.8473920000006</v>
      </c>
      <c r="J21" s="360">
        <v>4530.8473920000006</v>
      </c>
      <c r="K21" s="361"/>
      <c r="L21" s="358" t="str">
        <f t="shared" si="0"/>
        <v>OK</v>
      </c>
    </row>
    <row r="22" spans="1:12" s="68" customFormat="1" ht="15.75">
      <c r="A22" s="215" t="s">
        <v>5</v>
      </c>
      <c r="B22" s="215"/>
      <c r="C22" s="224" t="s">
        <v>2</v>
      </c>
      <c r="D22" s="224"/>
      <c r="E22" s="215"/>
      <c r="F22" s="216"/>
      <c r="G22" s="317"/>
      <c r="H22" s="280">
        <v>529.56116800000007</v>
      </c>
      <c r="J22" s="359">
        <v>529.56116800000007</v>
      </c>
      <c r="K22" s="354"/>
      <c r="L22" s="358" t="str">
        <f t="shared" si="0"/>
        <v>OK</v>
      </c>
    </row>
    <row r="23" spans="1:12" s="67" customFormat="1" ht="66">
      <c r="A23" s="244" t="s">
        <v>6</v>
      </c>
      <c r="B23" s="249">
        <v>73467</v>
      </c>
      <c r="C23" s="255" t="s">
        <v>169</v>
      </c>
      <c r="D23" s="261">
        <v>4</v>
      </c>
      <c r="E23" s="262" t="s">
        <v>70</v>
      </c>
      <c r="F23" s="245"/>
      <c r="G23" s="253">
        <v>132.39029199999999</v>
      </c>
      <c r="H23" s="250">
        <v>529.56116800000007</v>
      </c>
      <c r="J23" s="360">
        <v>529.56116800000007</v>
      </c>
      <c r="K23" s="361"/>
      <c r="L23" s="358" t="str">
        <f t="shared" si="0"/>
        <v>OK</v>
      </c>
    </row>
    <row r="24" spans="1:12" s="68" customFormat="1" ht="15.75">
      <c r="A24" s="215" t="s">
        <v>7</v>
      </c>
      <c r="B24" s="215"/>
      <c r="C24" s="224" t="s">
        <v>8</v>
      </c>
      <c r="D24" s="224"/>
      <c r="E24" s="215"/>
      <c r="F24" s="217"/>
      <c r="G24" s="317"/>
      <c r="H24" s="280">
        <v>22091.959844000001</v>
      </c>
      <c r="J24" s="359">
        <v>22091.959844000001</v>
      </c>
      <c r="K24" s="354"/>
      <c r="L24" s="358" t="str">
        <f t="shared" si="0"/>
        <v>OK</v>
      </c>
    </row>
    <row r="25" spans="1:12" s="67" customFormat="1" ht="30" customHeight="1">
      <c r="A25" s="244" t="s">
        <v>9</v>
      </c>
      <c r="B25" s="249" t="s">
        <v>256</v>
      </c>
      <c r="C25" s="255" t="s">
        <v>81</v>
      </c>
      <c r="D25" s="266">
        <v>0.99999998800000001</v>
      </c>
      <c r="E25" s="262" t="s">
        <v>10</v>
      </c>
      <c r="F25" s="245"/>
      <c r="G25" s="253">
        <v>22091.95</v>
      </c>
      <c r="H25" s="250">
        <v>22091.959844000001</v>
      </c>
      <c r="J25" s="360">
        <v>22091.959844000001</v>
      </c>
      <c r="K25" s="361"/>
      <c r="L25" s="358" t="str">
        <f t="shared" si="0"/>
        <v>OK</v>
      </c>
    </row>
    <row r="26" spans="1:12" s="68" customFormat="1" ht="15.75">
      <c r="A26" s="215" t="s">
        <v>11</v>
      </c>
      <c r="B26" s="215"/>
      <c r="C26" s="219" t="s">
        <v>171</v>
      </c>
      <c r="D26" s="224"/>
      <c r="E26" s="215"/>
      <c r="F26" s="215"/>
      <c r="G26" s="317"/>
      <c r="H26" s="280">
        <v>17002.583485927578</v>
      </c>
      <c r="J26" s="359">
        <v>17002.583485927578</v>
      </c>
      <c r="K26" s="354"/>
      <c r="L26" s="358" t="str">
        <f t="shared" si="0"/>
        <v>OK</v>
      </c>
    </row>
    <row r="27" spans="1:12" s="67" customFormat="1" ht="51.75" customHeight="1">
      <c r="A27" s="243" t="s">
        <v>12</v>
      </c>
      <c r="B27" s="249">
        <v>97650</v>
      </c>
      <c r="C27" s="255" t="s">
        <v>172</v>
      </c>
      <c r="D27" s="261">
        <v>553.29</v>
      </c>
      <c r="E27" s="262" t="s">
        <v>300</v>
      </c>
      <c r="F27" s="257"/>
      <c r="G27" s="253">
        <v>5.0924040000000002</v>
      </c>
      <c r="H27" s="250">
        <v>2817.57620916</v>
      </c>
      <c r="J27" s="360">
        <v>2817.57620916</v>
      </c>
      <c r="K27" s="361"/>
      <c r="L27" s="358" t="str">
        <f t="shared" si="0"/>
        <v>OK</v>
      </c>
    </row>
    <row r="28" spans="1:12" s="67" customFormat="1" ht="61.5" customHeight="1">
      <c r="A28" s="243" t="s">
        <v>377</v>
      </c>
      <c r="B28" s="249">
        <v>97647</v>
      </c>
      <c r="C28" s="255" t="s">
        <v>173</v>
      </c>
      <c r="D28" s="261">
        <v>553.29</v>
      </c>
      <c r="E28" s="262" t="s">
        <v>300</v>
      </c>
      <c r="F28" s="245"/>
      <c r="G28" s="253">
        <v>2.3691279999999999</v>
      </c>
      <c r="H28" s="250">
        <v>1310.8148311199998</v>
      </c>
      <c r="J28" s="360">
        <v>1310.8148311199998</v>
      </c>
      <c r="K28" s="361"/>
      <c r="L28" s="358" t="str">
        <f t="shared" si="0"/>
        <v>OK</v>
      </c>
    </row>
    <row r="29" spans="1:12" s="67" customFormat="1" ht="54.75" customHeight="1">
      <c r="A29" s="243" t="s">
        <v>378</v>
      </c>
      <c r="B29" s="249">
        <v>97625</v>
      </c>
      <c r="C29" s="286" t="s">
        <v>174</v>
      </c>
      <c r="D29" s="261">
        <v>19.469000000000001</v>
      </c>
      <c r="E29" s="262" t="s">
        <v>73</v>
      </c>
      <c r="F29" s="245"/>
      <c r="G29" s="253">
        <v>36.990147999999998</v>
      </c>
      <c r="H29" s="250">
        <v>720.16119141199999</v>
      </c>
      <c r="J29" s="360">
        <v>720.16119141199999</v>
      </c>
      <c r="K29" s="361"/>
      <c r="L29" s="358" t="str">
        <f t="shared" si="0"/>
        <v>OK</v>
      </c>
    </row>
    <row r="30" spans="1:12" s="67" customFormat="1" ht="54.75" customHeight="1">
      <c r="A30" s="243" t="s">
        <v>379</v>
      </c>
      <c r="B30" s="249">
        <v>97633</v>
      </c>
      <c r="C30" s="286" t="s">
        <v>175</v>
      </c>
      <c r="D30" s="261">
        <v>561.81999999999994</v>
      </c>
      <c r="E30" s="262" t="s">
        <v>300</v>
      </c>
      <c r="F30" s="245"/>
      <c r="G30" s="253">
        <v>15.838964000000002</v>
      </c>
      <c r="H30" s="250">
        <v>8898.6467544799998</v>
      </c>
      <c r="J30" s="360">
        <v>8898.6467544799998</v>
      </c>
      <c r="K30" s="361"/>
      <c r="L30" s="358" t="str">
        <f t="shared" si="0"/>
        <v>OK</v>
      </c>
    </row>
    <row r="31" spans="1:12" s="67" customFormat="1" ht="44.25" customHeight="1">
      <c r="A31" s="243" t="s">
        <v>380</v>
      </c>
      <c r="B31" s="249">
        <v>97663</v>
      </c>
      <c r="C31" s="255" t="s">
        <v>176</v>
      </c>
      <c r="D31" s="261">
        <v>8</v>
      </c>
      <c r="E31" s="262" t="s">
        <v>314</v>
      </c>
      <c r="F31" s="245"/>
      <c r="G31" s="253">
        <v>8.4384920000000001</v>
      </c>
      <c r="H31" s="250">
        <v>67.507936000000001</v>
      </c>
      <c r="J31" s="360">
        <v>67.507936000000001</v>
      </c>
      <c r="K31" s="361"/>
      <c r="L31" s="358" t="str">
        <f t="shared" si="0"/>
        <v>OK</v>
      </c>
    </row>
    <row r="32" spans="1:12" s="67" customFormat="1" ht="43.5" customHeight="1">
      <c r="A32" s="243" t="s">
        <v>381</v>
      </c>
      <c r="B32" s="249">
        <v>97644</v>
      </c>
      <c r="C32" s="255" t="s">
        <v>177</v>
      </c>
      <c r="D32" s="261">
        <v>10.92</v>
      </c>
      <c r="E32" s="262" t="s">
        <v>300</v>
      </c>
      <c r="F32" s="245"/>
      <c r="G32" s="253">
        <v>6.3258159999999997</v>
      </c>
      <c r="H32" s="250">
        <v>69.077910719999991</v>
      </c>
      <c r="J32" s="360">
        <v>69.077910719999991</v>
      </c>
      <c r="K32" s="361"/>
      <c r="L32" s="358" t="str">
        <f t="shared" si="0"/>
        <v>OK</v>
      </c>
    </row>
    <row r="33" spans="1:12" s="67" customFormat="1" ht="46.5" customHeight="1">
      <c r="A33" s="243" t="s">
        <v>382</v>
      </c>
      <c r="B33" s="249">
        <v>97629</v>
      </c>
      <c r="C33" s="255" t="s">
        <v>178</v>
      </c>
      <c r="D33" s="261">
        <v>19.170000000000002</v>
      </c>
      <c r="E33" s="262" t="s">
        <v>73</v>
      </c>
      <c r="F33" s="245"/>
      <c r="G33" s="253">
        <v>88.939996000000008</v>
      </c>
      <c r="H33" s="250">
        <v>1704.9797233200004</v>
      </c>
      <c r="J33" s="360">
        <v>1704.9797233200004</v>
      </c>
      <c r="K33" s="361"/>
      <c r="L33" s="358" t="str">
        <f t="shared" si="0"/>
        <v>OK</v>
      </c>
    </row>
    <row r="34" spans="1:12" s="67" customFormat="1" ht="51.75" customHeight="1">
      <c r="A34" s="243" t="s">
        <v>383</v>
      </c>
      <c r="B34" s="254">
        <v>88315</v>
      </c>
      <c r="C34" s="285" t="s">
        <v>305</v>
      </c>
      <c r="D34" s="261">
        <v>80</v>
      </c>
      <c r="E34" s="262" t="s">
        <v>72</v>
      </c>
      <c r="F34" s="257"/>
      <c r="G34" s="253">
        <v>17.672736621444752</v>
      </c>
      <c r="H34" s="250">
        <v>1413.8189297155802</v>
      </c>
      <c r="J34" s="360">
        <v>1413.8189297155802</v>
      </c>
      <c r="K34" s="361"/>
      <c r="L34" s="358" t="str">
        <f t="shared" si="0"/>
        <v>OK</v>
      </c>
    </row>
    <row r="35" spans="1:12" s="68" customFormat="1" ht="15.75">
      <c r="A35" s="215" t="s">
        <v>13</v>
      </c>
      <c r="B35" s="215"/>
      <c r="C35" s="219" t="s">
        <v>179</v>
      </c>
      <c r="D35" s="224"/>
      <c r="E35" s="215"/>
      <c r="F35" s="215"/>
      <c r="G35" s="318"/>
      <c r="H35" s="280">
        <v>14294.542096104351</v>
      </c>
      <c r="J35" s="359">
        <v>14294.542096104351</v>
      </c>
      <c r="K35" s="354"/>
      <c r="L35" s="358" t="str">
        <f t="shared" si="0"/>
        <v>OK</v>
      </c>
    </row>
    <row r="36" spans="1:12" s="67" customFormat="1" ht="42" customHeight="1">
      <c r="A36" s="243" t="s">
        <v>14</v>
      </c>
      <c r="B36" s="249">
        <v>1368</v>
      </c>
      <c r="C36" s="255" t="s">
        <v>180</v>
      </c>
      <c r="D36" s="261">
        <v>2</v>
      </c>
      <c r="E36" s="262" t="s">
        <v>314</v>
      </c>
      <c r="F36" s="245"/>
      <c r="G36" s="253">
        <v>63.184888000000008</v>
      </c>
      <c r="H36" s="250">
        <v>126.36977600000002</v>
      </c>
      <c r="J36" s="360">
        <v>126.36977600000002</v>
      </c>
      <c r="K36" s="361"/>
      <c r="L36" s="358" t="str">
        <f t="shared" si="0"/>
        <v>OK</v>
      </c>
    </row>
    <row r="37" spans="1:12" s="67" customFormat="1" ht="42" customHeight="1">
      <c r="A37" s="243" t="s">
        <v>15</v>
      </c>
      <c r="B37" s="249">
        <v>36081</v>
      </c>
      <c r="C37" s="255" t="s">
        <v>181</v>
      </c>
      <c r="D37" s="261">
        <v>6</v>
      </c>
      <c r="E37" s="262" t="s">
        <v>314</v>
      </c>
      <c r="F37" s="245"/>
      <c r="G37" s="253">
        <v>106.19555199999999</v>
      </c>
      <c r="H37" s="250">
        <v>637.1733119999999</v>
      </c>
      <c r="J37" s="360">
        <v>637.1733119999999</v>
      </c>
      <c r="K37" s="361"/>
      <c r="L37" s="358" t="str">
        <f t="shared" si="0"/>
        <v>OK</v>
      </c>
    </row>
    <row r="38" spans="1:12" s="67" customFormat="1" ht="75.75" customHeight="1">
      <c r="A38" s="243" t="s">
        <v>16</v>
      </c>
      <c r="B38" s="249">
        <v>95470</v>
      </c>
      <c r="C38" s="255" t="s">
        <v>182</v>
      </c>
      <c r="D38" s="261">
        <v>4</v>
      </c>
      <c r="E38" s="262" t="s">
        <v>314</v>
      </c>
      <c r="F38" s="245"/>
      <c r="G38" s="253">
        <v>178.79589200000001</v>
      </c>
      <c r="H38" s="250">
        <v>715.18356800000004</v>
      </c>
      <c r="J38" s="360">
        <v>715.18356800000004</v>
      </c>
      <c r="K38" s="361"/>
      <c r="L38" s="358" t="str">
        <f t="shared" si="0"/>
        <v>OK</v>
      </c>
    </row>
    <row r="39" spans="1:12" s="67" customFormat="1" ht="48" customHeight="1">
      <c r="A39" s="243" t="s">
        <v>17</v>
      </c>
      <c r="B39" s="249">
        <v>40729</v>
      </c>
      <c r="C39" s="255" t="s">
        <v>183</v>
      </c>
      <c r="D39" s="261">
        <v>6</v>
      </c>
      <c r="E39" s="262" t="s">
        <v>314</v>
      </c>
      <c r="F39" s="245"/>
      <c r="G39" s="253">
        <v>215.10216800000001</v>
      </c>
      <c r="H39" s="250">
        <v>1290.613008</v>
      </c>
      <c r="J39" s="360">
        <v>1290.613008</v>
      </c>
      <c r="K39" s="361"/>
      <c r="L39" s="358" t="str">
        <f t="shared" si="0"/>
        <v>OK</v>
      </c>
    </row>
    <row r="40" spans="1:12" s="67" customFormat="1" ht="62.25" customHeight="1">
      <c r="A40" s="243" t="s">
        <v>194</v>
      </c>
      <c r="B40" s="249">
        <v>95471</v>
      </c>
      <c r="C40" s="255" t="s">
        <v>184</v>
      </c>
      <c r="D40" s="261">
        <v>2</v>
      </c>
      <c r="E40" s="262" t="s">
        <v>314</v>
      </c>
      <c r="F40" s="245"/>
      <c r="G40" s="253">
        <v>595.48154399999999</v>
      </c>
      <c r="H40" s="250">
        <v>1190.963088</v>
      </c>
      <c r="J40" s="360">
        <v>1190.963088</v>
      </c>
      <c r="K40" s="361"/>
      <c r="L40" s="358" t="str">
        <f t="shared" si="0"/>
        <v>OK</v>
      </c>
    </row>
    <row r="41" spans="1:12" s="67" customFormat="1" ht="45" customHeight="1">
      <c r="A41" s="243" t="s">
        <v>195</v>
      </c>
      <c r="B41" s="249">
        <v>86902</v>
      </c>
      <c r="C41" s="255" t="s">
        <v>185</v>
      </c>
      <c r="D41" s="261">
        <v>2</v>
      </c>
      <c r="E41" s="262" t="s">
        <v>314</v>
      </c>
      <c r="F41" s="245"/>
      <c r="G41" s="253">
        <v>210.68142400000002</v>
      </c>
      <c r="H41" s="250">
        <v>421.36284800000004</v>
      </c>
      <c r="J41" s="360">
        <v>421.36284800000004</v>
      </c>
      <c r="K41" s="361"/>
      <c r="L41" s="358" t="str">
        <f t="shared" si="0"/>
        <v>OK</v>
      </c>
    </row>
    <row r="42" spans="1:12" s="67" customFormat="1" ht="42.75" customHeight="1">
      <c r="A42" s="243" t="s">
        <v>196</v>
      </c>
      <c r="B42" s="249">
        <v>86904</v>
      </c>
      <c r="C42" s="255" t="s">
        <v>186</v>
      </c>
      <c r="D42" s="261">
        <v>4</v>
      </c>
      <c r="E42" s="262" t="s">
        <v>314</v>
      </c>
      <c r="F42" s="245"/>
      <c r="G42" s="253">
        <v>106.29324800000002</v>
      </c>
      <c r="H42" s="250">
        <v>425.17299200000008</v>
      </c>
      <c r="J42" s="360">
        <v>425.17299200000008</v>
      </c>
      <c r="K42" s="361"/>
      <c r="L42" s="358" t="str">
        <f t="shared" si="0"/>
        <v>OK</v>
      </c>
    </row>
    <row r="43" spans="1:12" s="67" customFormat="1" ht="45" customHeight="1">
      <c r="A43" s="243" t="s">
        <v>197</v>
      </c>
      <c r="B43" s="249">
        <v>86913</v>
      </c>
      <c r="C43" s="255" t="s">
        <v>187</v>
      </c>
      <c r="D43" s="261">
        <v>6</v>
      </c>
      <c r="E43" s="262" t="s">
        <v>314</v>
      </c>
      <c r="F43" s="245"/>
      <c r="G43" s="253">
        <v>18.452332000000002</v>
      </c>
      <c r="H43" s="250">
        <v>110.71399200000002</v>
      </c>
      <c r="J43" s="360">
        <v>110.71399200000002</v>
      </c>
      <c r="K43" s="361"/>
      <c r="L43" s="358" t="str">
        <f t="shared" si="0"/>
        <v>OK</v>
      </c>
    </row>
    <row r="44" spans="1:12" s="67" customFormat="1" ht="51" customHeight="1">
      <c r="A44" s="243" t="s">
        <v>384</v>
      </c>
      <c r="B44" s="249">
        <v>11795</v>
      </c>
      <c r="C44" s="255" t="s">
        <v>188</v>
      </c>
      <c r="D44" s="261">
        <v>2.76</v>
      </c>
      <c r="E44" s="262" t="s">
        <v>300</v>
      </c>
      <c r="F44" s="245"/>
      <c r="G44" s="253">
        <v>205.320356</v>
      </c>
      <c r="H44" s="250">
        <v>566.68418255999995</v>
      </c>
      <c r="J44" s="360">
        <v>566.68418255999995</v>
      </c>
      <c r="K44" s="361"/>
      <c r="L44" s="358" t="str">
        <f t="shared" si="0"/>
        <v>OK</v>
      </c>
    </row>
    <row r="45" spans="1:12" s="67" customFormat="1" ht="71.25" customHeight="1">
      <c r="A45" s="243" t="s">
        <v>385</v>
      </c>
      <c r="B45" s="249">
        <v>86920</v>
      </c>
      <c r="C45" s="255" t="s">
        <v>189</v>
      </c>
      <c r="D45" s="261">
        <v>1</v>
      </c>
      <c r="E45" s="262" t="s">
        <v>314</v>
      </c>
      <c r="F45" s="245"/>
      <c r="G45" s="253">
        <v>631.1405840000001</v>
      </c>
      <c r="H45" s="250">
        <v>631.1405840000001</v>
      </c>
      <c r="J45" s="360">
        <v>631.1405840000001</v>
      </c>
      <c r="K45" s="361"/>
      <c r="L45" s="358" t="str">
        <f t="shared" si="0"/>
        <v>OK</v>
      </c>
    </row>
    <row r="46" spans="1:12" s="67" customFormat="1" ht="48.75" customHeight="1">
      <c r="A46" s="243" t="s">
        <v>386</v>
      </c>
      <c r="B46" s="249" t="s">
        <v>193</v>
      </c>
      <c r="C46" s="255" t="s">
        <v>190</v>
      </c>
      <c r="D46" s="261">
        <v>3.36</v>
      </c>
      <c r="E46" s="262" t="s">
        <v>300</v>
      </c>
      <c r="F46" s="245"/>
      <c r="G46" s="253">
        <v>366.28672800000004</v>
      </c>
      <c r="H46" s="250">
        <v>1230.7234060800001</v>
      </c>
      <c r="J46" s="360">
        <v>1230.7234060800001</v>
      </c>
      <c r="K46" s="361"/>
      <c r="L46" s="358" t="str">
        <f t="shared" si="0"/>
        <v>OK</v>
      </c>
    </row>
    <row r="47" spans="1:12" s="67" customFormat="1" ht="61.5" customHeight="1">
      <c r="A47" s="243" t="s">
        <v>387</v>
      </c>
      <c r="B47" s="249">
        <v>91341</v>
      </c>
      <c r="C47" s="255" t="s">
        <v>191</v>
      </c>
      <c r="D47" s="261">
        <v>11.34</v>
      </c>
      <c r="E47" s="262" t="s">
        <v>300</v>
      </c>
      <c r="F47" s="245"/>
      <c r="G47" s="253">
        <v>377.50955600000003</v>
      </c>
      <c r="H47" s="250">
        <v>4280.95836504</v>
      </c>
      <c r="J47" s="360">
        <v>4280.95836504</v>
      </c>
      <c r="K47" s="361"/>
      <c r="L47" s="358" t="str">
        <f t="shared" si="0"/>
        <v>OK</v>
      </c>
    </row>
    <row r="48" spans="1:12" s="67" customFormat="1" ht="66">
      <c r="A48" s="243" t="s">
        <v>388</v>
      </c>
      <c r="B48" s="249">
        <v>94779</v>
      </c>
      <c r="C48" s="285" t="s">
        <v>327</v>
      </c>
      <c r="D48" s="261">
        <v>54.6</v>
      </c>
      <c r="E48" s="262" t="s">
        <v>300</v>
      </c>
      <c r="F48" s="245"/>
      <c r="G48" s="253">
        <v>30.372986718430511</v>
      </c>
      <c r="H48" s="250">
        <v>1658.365074826306</v>
      </c>
      <c r="J48" s="360">
        <v>1658.365074826306</v>
      </c>
      <c r="K48" s="361"/>
      <c r="L48" s="358" t="str">
        <f t="shared" si="0"/>
        <v>OK</v>
      </c>
    </row>
    <row r="49" spans="1:12" s="67" customFormat="1" ht="79.5" customHeight="1">
      <c r="A49" s="243" t="s">
        <v>389</v>
      </c>
      <c r="B49" s="249">
        <v>91926</v>
      </c>
      <c r="C49" s="285" t="s">
        <v>328</v>
      </c>
      <c r="D49" s="261">
        <v>100</v>
      </c>
      <c r="E49" s="262" t="s">
        <v>262</v>
      </c>
      <c r="F49" s="245"/>
      <c r="G49" s="253">
        <v>2.1429932596082613</v>
      </c>
      <c r="H49" s="250">
        <v>214.29932596082614</v>
      </c>
      <c r="J49" s="360">
        <v>214.29932596082614</v>
      </c>
      <c r="K49" s="361"/>
      <c r="L49" s="358" t="str">
        <f t="shared" si="0"/>
        <v>OK</v>
      </c>
    </row>
    <row r="50" spans="1:12" s="67" customFormat="1" ht="82.5" customHeight="1">
      <c r="A50" s="243" t="s">
        <v>390</v>
      </c>
      <c r="B50" s="249">
        <v>97589</v>
      </c>
      <c r="C50" s="285" t="s">
        <v>338</v>
      </c>
      <c r="D50" s="261">
        <v>12</v>
      </c>
      <c r="E50" s="262" t="s">
        <v>329</v>
      </c>
      <c r="F50" s="245"/>
      <c r="G50" s="253">
        <v>25.270621814601313</v>
      </c>
      <c r="H50" s="250">
        <v>303.24746177521575</v>
      </c>
      <c r="J50" s="360">
        <v>303.24746177521575</v>
      </c>
      <c r="K50" s="361"/>
      <c r="L50" s="358" t="str">
        <f t="shared" si="0"/>
        <v>OK</v>
      </c>
    </row>
    <row r="51" spans="1:12" s="67" customFormat="1" ht="77.25" customHeight="1">
      <c r="A51" s="243" t="s">
        <v>391</v>
      </c>
      <c r="B51" s="249">
        <v>93128</v>
      </c>
      <c r="C51" s="285" t="s">
        <v>330</v>
      </c>
      <c r="D51" s="261">
        <v>3</v>
      </c>
      <c r="E51" s="262" t="s">
        <v>329</v>
      </c>
      <c r="F51" s="245"/>
      <c r="G51" s="253">
        <v>91.916784485708462</v>
      </c>
      <c r="H51" s="250">
        <v>275.75035345712536</v>
      </c>
      <c r="J51" s="360">
        <v>275.75035345712536</v>
      </c>
      <c r="K51" s="361"/>
      <c r="L51" s="358" t="str">
        <f t="shared" si="0"/>
        <v>OK</v>
      </c>
    </row>
    <row r="52" spans="1:12" s="67" customFormat="1" ht="79.5" customHeight="1">
      <c r="A52" s="243" t="s">
        <v>392</v>
      </c>
      <c r="B52" s="249">
        <v>93137</v>
      </c>
      <c r="C52" s="285" t="s">
        <v>331</v>
      </c>
      <c r="D52" s="261">
        <v>2</v>
      </c>
      <c r="E52" s="262" t="s">
        <v>329</v>
      </c>
      <c r="F52" s="245"/>
      <c r="G52" s="253">
        <v>107.91037920243849</v>
      </c>
      <c r="H52" s="250">
        <v>215.82075840487698</v>
      </c>
      <c r="J52" s="360">
        <v>215.82075840487698</v>
      </c>
      <c r="K52" s="361"/>
      <c r="L52" s="358" t="str">
        <f t="shared" si="0"/>
        <v>OK</v>
      </c>
    </row>
    <row r="53" spans="1:12" s="68" customFormat="1" ht="30.75" customHeight="1">
      <c r="A53" s="215" t="s">
        <v>18</v>
      </c>
      <c r="B53" s="215"/>
      <c r="C53" s="219" t="s">
        <v>192</v>
      </c>
      <c r="D53" s="224"/>
      <c r="E53" s="215"/>
      <c r="F53" s="215"/>
      <c r="G53" s="318"/>
      <c r="H53" s="280">
        <v>9658.2902195323859</v>
      </c>
      <c r="J53" s="359">
        <v>9658.2902195323859</v>
      </c>
      <c r="K53" s="354"/>
      <c r="L53" s="358" t="str">
        <f t="shared" si="0"/>
        <v>OK</v>
      </c>
    </row>
    <row r="54" spans="1:12" s="67" customFormat="1" ht="48" customHeight="1">
      <c r="A54" s="244" t="s">
        <v>19</v>
      </c>
      <c r="B54" s="249">
        <v>91787</v>
      </c>
      <c r="C54" s="255" t="s">
        <v>198</v>
      </c>
      <c r="D54" s="261">
        <v>20</v>
      </c>
      <c r="E54" s="262" t="s">
        <v>262</v>
      </c>
      <c r="F54" s="245"/>
      <c r="G54" s="253">
        <v>20.100952000000003</v>
      </c>
      <c r="H54" s="250">
        <v>402.01904000000007</v>
      </c>
      <c r="J54" s="360">
        <v>402.01904000000007</v>
      </c>
      <c r="K54" s="361"/>
      <c r="L54" s="358" t="str">
        <f t="shared" si="0"/>
        <v>OK</v>
      </c>
    </row>
    <row r="55" spans="1:12" s="67" customFormat="1" ht="76.5" customHeight="1">
      <c r="A55" s="244" t="s">
        <v>20</v>
      </c>
      <c r="B55" s="249">
        <v>91795</v>
      </c>
      <c r="C55" s="255" t="s">
        <v>199</v>
      </c>
      <c r="D55" s="261">
        <v>46</v>
      </c>
      <c r="E55" s="262" t="s">
        <v>262</v>
      </c>
      <c r="F55" s="245"/>
      <c r="G55" s="253">
        <v>47.138320000000007</v>
      </c>
      <c r="H55" s="250">
        <v>2168.3627200000005</v>
      </c>
      <c r="J55" s="360">
        <v>2168.3627200000005</v>
      </c>
      <c r="K55" s="361"/>
      <c r="L55" s="358" t="str">
        <f t="shared" si="0"/>
        <v>OK</v>
      </c>
    </row>
    <row r="56" spans="1:12" s="67" customFormat="1" ht="66">
      <c r="A56" s="244" t="s">
        <v>21</v>
      </c>
      <c r="B56" s="254">
        <v>91786</v>
      </c>
      <c r="C56" s="285" t="s">
        <v>200</v>
      </c>
      <c r="D56" s="261">
        <v>120</v>
      </c>
      <c r="E56" s="262" t="s">
        <v>262</v>
      </c>
      <c r="F56" s="257"/>
      <c r="G56" s="253">
        <v>18.730317710602076</v>
      </c>
      <c r="H56" s="250">
        <v>2247.638125272249</v>
      </c>
      <c r="J56" s="360">
        <v>2247.638125272249</v>
      </c>
      <c r="K56" s="361"/>
      <c r="L56" s="358" t="str">
        <f t="shared" si="0"/>
        <v>OK</v>
      </c>
    </row>
    <row r="57" spans="1:12" s="67" customFormat="1" ht="87.75" customHeight="1">
      <c r="A57" s="244" t="s">
        <v>230</v>
      </c>
      <c r="B57" s="254">
        <v>94288</v>
      </c>
      <c r="C57" s="285" t="s">
        <v>296</v>
      </c>
      <c r="D57" s="261">
        <v>66</v>
      </c>
      <c r="E57" s="262" t="s">
        <v>262</v>
      </c>
      <c r="F57" s="257"/>
      <c r="G57" s="253">
        <v>34.58475702086406</v>
      </c>
      <c r="H57" s="250">
        <v>2282.5939633770281</v>
      </c>
      <c r="J57" s="360">
        <v>2282.5939633770281</v>
      </c>
      <c r="K57" s="361"/>
      <c r="L57" s="358" t="str">
        <f t="shared" si="0"/>
        <v>OK</v>
      </c>
    </row>
    <row r="58" spans="1:12" s="67" customFormat="1" ht="75.75" customHeight="1">
      <c r="A58" s="244" t="s">
        <v>231</v>
      </c>
      <c r="B58" s="254">
        <v>93358</v>
      </c>
      <c r="C58" s="285" t="s">
        <v>297</v>
      </c>
      <c r="D58" s="261">
        <v>12</v>
      </c>
      <c r="E58" s="262" t="s">
        <v>73</v>
      </c>
      <c r="F58" s="257"/>
      <c r="G58" s="319">
        <v>55.560115289150986</v>
      </c>
      <c r="H58" s="250">
        <v>666.72138346981183</v>
      </c>
      <c r="J58" s="360">
        <v>666.72138346981183</v>
      </c>
      <c r="K58" s="361"/>
      <c r="L58" s="358" t="str">
        <f t="shared" si="0"/>
        <v>OK</v>
      </c>
    </row>
    <row r="59" spans="1:12" s="67" customFormat="1" ht="86.25" customHeight="1">
      <c r="A59" s="244" t="s">
        <v>232</v>
      </c>
      <c r="B59" s="254">
        <v>91788</v>
      </c>
      <c r="C59" s="285" t="s">
        <v>298</v>
      </c>
      <c r="D59" s="261">
        <v>72</v>
      </c>
      <c r="E59" s="262" t="s">
        <v>262</v>
      </c>
      <c r="F59" s="257"/>
      <c r="G59" s="253">
        <v>26.263263714073538</v>
      </c>
      <c r="H59" s="250">
        <v>1890.9549874132947</v>
      </c>
      <c r="J59" s="360">
        <v>1890.9549874132947</v>
      </c>
      <c r="K59" s="361"/>
      <c r="L59" s="358" t="str">
        <f t="shared" si="0"/>
        <v>OK</v>
      </c>
    </row>
    <row r="60" spans="1:12" s="68" customFormat="1" ht="15.75">
      <c r="A60" s="215" t="s">
        <v>22</v>
      </c>
      <c r="B60" s="215"/>
      <c r="C60" s="219" t="s">
        <v>201</v>
      </c>
      <c r="D60" s="224"/>
      <c r="E60" s="215"/>
      <c r="F60" s="215"/>
      <c r="G60" s="318"/>
      <c r="H60" s="280">
        <v>12504.655499807999</v>
      </c>
      <c r="J60" s="359">
        <v>12504.655499807999</v>
      </c>
      <c r="K60" s="354"/>
      <c r="L60" s="358" t="str">
        <f t="shared" si="0"/>
        <v>OK</v>
      </c>
    </row>
    <row r="61" spans="1:12" s="87" customFormat="1" ht="87.75" customHeight="1">
      <c r="A61" s="243" t="s">
        <v>23</v>
      </c>
      <c r="B61" s="254">
        <v>89168</v>
      </c>
      <c r="C61" s="255" t="s">
        <v>202</v>
      </c>
      <c r="D61" s="261">
        <v>63.207999999999998</v>
      </c>
      <c r="E61" s="262" t="s">
        <v>300</v>
      </c>
      <c r="F61" s="245"/>
      <c r="G61" s="253">
        <v>69.889275999999995</v>
      </c>
      <c r="H61" s="250">
        <v>4417.5613574079998</v>
      </c>
      <c r="J61" s="360">
        <v>4417.5613574079998</v>
      </c>
      <c r="K61" s="362"/>
      <c r="L61" s="358" t="str">
        <f t="shared" si="0"/>
        <v>OK</v>
      </c>
    </row>
    <row r="62" spans="1:12" s="67" customFormat="1" ht="79.5" customHeight="1">
      <c r="A62" s="243" t="s">
        <v>24</v>
      </c>
      <c r="B62" s="254">
        <v>87894</v>
      </c>
      <c r="C62" s="255" t="s">
        <v>203</v>
      </c>
      <c r="D62" s="261">
        <v>234.416</v>
      </c>
      <c r="E62" s="262" t="s">
        <v>300</v>
      </c>
      <c r="F62" s="245"/>
      <c r="G62" s="253">
        <v>4.8603760000000005</v>
      </c>
      <c r="H62" s="250">
        <v>1139.3499004160001</v>
      </c>
      <c r="J62" s="360">
        <v>1139.3499004160001</v>
      </c>
      <c r="K62" s="361"/>
      <c r="L62" s="358" t="str">
        <f t="shared" si="0"/>
        <v>OK</v>
      </c>
    </row>
    <row r="63" spans="1:12" s="67" customFormat="1" ht="66">
      <c r="A63" s="243" t="s">
        <v>25</v>
      </c>
      <c r="B63" s="254">
        <v>89173</v>
      </c>
      <c r="C63" s="255" t="s">
        <v>204</v>
      </c>
      <c r="D63" s="261">
        <v>234.416</v>
      </c>
      <c r="E63" s="262" t="s">
        <v>300</v>
      </c>
      <c r="F63" s="245"/>
      <c r="G63" s="253">
        <v>29.638524</v>
      </c>
      <c r="H63" s="250">
        <v>6947.7442419839999</v>
      </c>
      <c r="J63" s="360">
        <v>6947.7442419839999</v>
      </c>
      <c r="K63" s="361"/>
      <c r="L63" s="358" t="str">
        <f t="shared" si="0"/>
        <v>OK</v>
      </c>
    </row>
    <row r="64" spans="1:12" s="69" customFormat="1" ht="24" customHeight="1">
      <c r="A64" s="215" t="s">
        <v>233</v>
      </c>
      <c r="B64" s="215"/>
      <c r="C64" s="219" t="s">
        <v>205</v>
      </c>
      <c r="D64" s="224"/>
      <c r="E64" s="215"/>
      <c r="F64" s="215"/>
      <c r="G64" s="318"/>
      <c r="H64" s="280">
        <v>25241.870856640002</v>
      </c>
      <c r="J64" s="359">
        <v>25241.870856640002</v>
      </c>
      <c r="K64" s="363"/>
      <c r="L64" s="358" t="str">
        <f t="shared" si="0"/>
        <v>OK</v>
      </c>
    </row>
    <row r="65" spans="1:12" s="67" customFormat="1" ht="45" customHeight="1">
      <c r="A65" s="244" t="s">
        <v>234</v>
      </c>
      <c r="B65" s="254">
        <v>87269</v>
      </c>
      <c r="C65" s="286" t="s">
        <v>206</v>
      </c>
      <c r="D65" s="261">
        <v>429.41599999999994</v>
      </c>
      <c r="E65" s="262" t="s">
        <v>300</v>
      </c>
      <c r="F65" s="245"/>
      <c r="G65" s="253">
        <v>45.428640000000009</v>
      </c>
      <c r="H65" s="250">
        <v>19507.784874240002</v>
      </c>
      <c r="J65" s="360">
        <v>19507.784874240002</v>
      </c>
      <c r="K65" s="361"/>
      <c r="L65" s="358" t="str">
        <f t="shared" si="0"/>
        <v>OK</v>
      </c>
    </row>
    <row r="66" spans="1:12" s="67" customFormat="1" ht="50.25" customHeight="1">
      <c r="A66" s="244" t="s">
        <v>235</v>
      </c>
      <c r="B66" s="254">
        <v>87248</v>
      </c>
      <c r="C66" s="286" t="s">
        <v>207</v>
      </c>
      <c r="D66" s="261">
        <v>173.2</v>
      </c>
      <c r="E66" s="262" t="s">
        <v>300</v>
      </c>
      <c r="F66" s="245"/>
      <c r="G66" s="253">
        <v>33.106732000000001</v>
      </c>
      <c r="H66" s="250">
        <v>5734.0859823999999</v>
      </c>
      <c r="J66" s="360">
        <v>5734.0859823999999</v>
      </c>
      <c r="K66" s="361"/>
      <c r="L66" s="358" t="str">
        <f t="shared" si="0"/>
        <v>OK</v>
      </c>
    </row>
    <row r="67" spans="1:12" s="69" customFormat="1" ht="27" customHeight="1">
      <c r="A67" s="215" t="s">
        <v>236</v>
      </c>
      <c r="B67" s="215"/>
      <c r="C67" s="219" t="s">
        <v>208</v>
      </c>
      <c r="D67" s="224"/>
      <c r="E67" s="215"/>
      <c r="F67" s="215"/>
      <c r="G67" s="318"/>
      <c r="H67" s="280">
        <v>36877.635082704008</v>
      </c>
      <c r="J67" s="359">
        <v>36877.635082704008</v>
      </c>
      <c r="K67" s="363"/>
      <c r="L67" s="358" t="str">
        <f t="shared" si="0"/>
        <v>OK</v>
      </c>
    </row>
    <row r="68" spans="1:12" s="67" customFormat="1" ht="49.5" customHeight="1">
      <c r="A68" s="244" t="s">
        <v>237</v>
      </c>
      <c r="B68" s="249">
        <v>88487</v>
      </c>
      <c r="C68" s="286" t="s">
        <v>209</v>
      </c>
      <c r="D68" s="261">
        <v>2177.2200000000003</v>
      </c>
      <c r="E68" s="262" t="s">
        <v>300</v>
      </c>
      <c r="F68" s="245"/>
      <c r="G68" s="253">
        <v>7.9378000000000002</v>
      </c>
      <c r="H68" s="250">
        <v>17282.336916000004</v>
      </c>
      <c r="J68" s="360">
        <v>17282.336916000004</v>
      </c>
      <c r="K68" s="361"/>
      <c r="L68" s="358" t="str">
        <f t="shared" si="0"/>
        <v>OK</v>
      </c>
    </row>
    <row r="69" spans="1:12" s="67" customFormat="1" ht="65.25" customHeight="1">
      <c r="A69" s="244" t="s">
        <v>238</v>
      </c>
      <c r="B69" s="254" t="s">
        <v>257</v>
      </c>
      <c r="C69" s="286" t="s">
        <v>210</v>
      </c>
      <c r="D69" s="261">
        <v>540.93399999999997</v>
      </c>
      <c r="E69" s="262" t="s">
        <v>300</v>
      </c>
      <c r="F69" s="257"/>
      <c r="G69" s="253">
        <v>21.322152000000003</v>
      </c>
      <c r="H69" s="250">
        <v>11533.876969968002</v>
      </c>
      <c r="J69" s="360">
        <v>11533.876969968002</v>
      </c>
      <c r="K69" s="361"/>
      <c r="L69" s="358" t="str">
        <f t="shared" si="0"/>
        <v>OK</v>
      </c>
    </row>
    <row r="70" spans="1:12" s="81" customFormat="1" ht="71.25" customHeight="1">
      <c r="A70" s="244" t="s">
        <v>393</v>
      </c>
      <c r="B70" s="249">
        <v>79460</v>
      </c>
      <c r="C70" s="286" t="s">
        <v>211</v>
      </c>
      <c r="D70" s="261">
        <v>247.608</v>
      </c>
      <c r="E70" s="262" t="s">
        <v>300</v>
      </c>
      <c r="F70" s="245"/>
      <c r="G70" s="253">
        <v>32.557192000000001</v>
      </c>
      <c r="H70" s="250">
        <v>8061.4211967360006</v>
      </c>
      <c r="J70" s="364">
        <v>8061.4211967360006</v>
      </c>
      <c r="K70" s="365"/>
      <c r="L70" s="358" t="str">
        <f t="shared" si="0"/>
        <v>OK</v>
      </c>
    </row>
    <row r="71" spans="1:12" s="69" customFormat="1" ht="29.25" customHeight="1">
      <c r="A71" s="215" t="s">
        <v>239</v>
      </c>
      <c r="B71" s="215"/>
      <c r="C71" s="219" t="s">
        <v>212</v>
      </c>
      <c r="D71" s="224"/>
      <c r="E71" s="215"/>
      <c r="F71" s="215"/>
      <c r="G71" s="318"/>
      <c r="H71" s="280">
        <v>2145.0966618400003</v>
      </c>
      <c r="J71" s="359">
        <v>2145.0966618400003</v>
      </c>
      <c r="K71" s="363"/>
      <c r="L71" s="358" t="str">
        <f t="shared" si="0"/>
        <v>OK</v>
      </c>
    </row>
    <row r="72" spans="1:12" s="81" customFormat="1" ht="51.75" customHeight="1">
      <c r="A72" s="244" t="s">
        <v>240</v>
      </c>
      <c r="B72" s="249">
        <v>96116</v>
      </c>
      <c r="C72" s="255" t="s">
        <v>213</v>
      </c>
      <c r="D72" s="261">
        <v>55.22</v>
      </c>
      <c r="E72" s="262" t="s">
        <v>300</v>
      </c>
      <c r="F72" s="245"/>
      <c r="G72" s="253">
        <v>38.846372000000002</v>
      </c>
      <c r="H72" s="250">
        <v>2145.0966618400003</v>
      </c>
      <c r="J72" s="364">
        <v>2145.0966618400003</v>
      </c>
      <c r="K72" s="365"/>
      <c r="L72" s="358" t="str">
        <f t="shared" si="0"/>
        <v>OK</v>
      </c>
    </row>
    <row r="73" spans="1:12" s="69" customFormat="1" ht="29.25" customHeight="1">
      <c r="A73" s="215" t="s">
        <v>241</v>
      </c>
      <c r="B73" s="215"/>
      <c r="C73" s="219" t="s">
        <v>214</v>
      </c>
      <c r="D73" s="224"/>
      <c r="E73" s="215"/>
      <c r="F73" s="215"/>
      <c r="G73" s="318"/>
      <c r="H73" s="280">
        <v>162484.7123403119</v>
      </c>
      <c r="J73" s="366">
        <v>162484.7123403119</v>
      </c>
      <c r="K73" s="363"/>
      <c r="L73" s="358" t="str">
        <f t="shared" si="0"/>
        <v>OK</v>
      </c>
    </row>
    <row r="74" spans="1:12" s="81" customFormat="1" ht="72.75" customHeight="1">
      <c r="A74" s="244" t="s">
        <v>242</v>
      </c>
      <c r="B74" s="254">
        <v>94991</v>
      </c>
      <c r="C74" s="255" t="s">
        <v>215</v>
      </c>
      <c r="D74" s="261">
        <v>58.51</v>
      </c>
      <c r="E74" s="262" t="s">
        <v>73</v>
      </c>
      <c r="F74" s="245"/>
      <c r="G74" s="253">
        <v>85.838148000000018</v>
      </c>
      <c r="H74" s="250">
        <v>5022.3900394800012</v>
      </c>
      <c r="J74" s="364">
        <v>5022.3900394800012</v>
      </c>
      <c r="K74" s="365"/>
      <c r="L74" s="358" t="str">
        <f t="shared" si="0"/>
        <v>OK</v>
      </c>
    </row>
    <row r="75" spans="1:12" s="81" customFormat="1" ht="75.75" customHeight="1">
      <c r="A75" s="244" t="s">
        <v>394</v>
      </c>
      <c r="B75" s="249" t="s">
        <v>258</v>
      </c>
      <c r="C75" s="286" t="s">
        <v>216</v>
      </c>
      <c r="D75" s="261">
        <v>301.89999999999998</v>
      </c>
      <c r="E75" s="262" t="s">
        <v>300</v>
      </c>
      <c r="F75" s="245"/>
      <c r="G75" s="253">
        <v>75.965478720000007</v>
      </c>
      <c r="H75" s="250">
        <v>22933.978025568002</v>
      </c>
      <c r="J75" s="364">
        <v>22933.978025568002</v>
      </c>
      <c r="K75" s="365"/>
      <c r="L75" s="358" t="str">
        <f t="shared" si="0"/>
        <v>OK</v>
      </c>
    </row>
    <row r="76" spans="1:12" s="81" customFormat="1" ht="66.75" customHeight="1">
      <c r="A76" s="244" t="s">
        <v>395</v>
      </c>
      <c r="B76" s="249">
        <v>98679</v>
      </c>
      <c r="C76" s="255" t="s">
        <v>217</v>
      </c>
      <c r="D76" s="261">
        <v>3382.27</v>
      </c>
      <c r="E76" s="262" t="s">
        <v>300</v>
      </c>
      <c r="F76" s="245"/>
      <c r="G76" s="253">
        <v>27.806724000000003</v>
      </c>
      <c r="H76" s="250">
        <v>94049.848383480014</v>
      </c>
      <c r="J76" s="364">
        <v>94049.848383480014</v>
      </c>
      <c r="K76" s="365"/>
      <c r="L76" s="358" t="str">
        <f t="shared" si="0"/>
        <v>OK</v>
      </c>
    </row>
    <row r="77" spans="1:12" s="81" customFormat="1" ht="65.25" customHeight="1">
      <c r="A77" s="244" t="s">
        <v>396</v>
      </c>
      <c r="B77" s="254">
        <v>94993</v>
      </c>
      <c r="C77" s="285" t="s">
        <v>333</v>
      </c>
      <c r="D77" s="261">
        <v>504.52499999999998</v>
      </c>
      <c r="E77" s="262" t="s">
        <v>300</v>
      </c>
      <c r="F77" s="245"/>
      <c r="G77" s="253">
        <v>48.277649017322041</v>
      </c>
      <c r="H77" s="250">
        <v>24357.280870464401</v>
      </c>
      <c r="J77" s="364">
        <v>24357.280870464401</v>
      </c>
      <c r="K77" s="365"/>
      <c r="L77" s="358" t="str">
        <f t="shared" si="0"/>
        <v>OK</v>
      </c>
    </row>
    <row r="78" spans="1:12" s="81" customFormat="1" ht="65.25" customHeight="1">
      <c r="A78" s="244" t="s">
        <v>397</v>
      </c>
      <c r="B78" s="254">
        <v>94990</v>
      </c>
      <c r="C78" s="285" t="s">
        <v>348</v>
      </c>
      <c r="D78" s="261">
        <v>31.594999999999999</v>
      </c>
      <c r="E78" s="262" t="s">
        <v>73</v>
      </c>
      <c r="F78" s="245"/>
      <c r="G78" s="253">
        <v>510.24576741001727</v>
      </c>
      <c r="H78" s="250">
        <v>16121.215021319495</v>
      </c>
      <c r="J78" s="364">
        <v>16121.215021319495</v>
      </c>
      <c r="K78" s="365"/>
      <c r="L78" s="358" t="str">
        <f t="shared" si="0"/>
        <v>OK</v>
      </c>
    </row>
    <row r="79" spans="1:12" s="69" customFormat="1" ht="24" customHeight="1">
      <c r="A79" s="215" t="s">
        <v>243</v>
      </c>
      <c r="B79" s="215"/>
      <c r="C79" s="219" t="s">
        <v>218</v>
      </c>
      <c r="D79" s="224"/>
      <c r="E79" s="215"/>
      <c r="F79" s="215"/>
      <c r="G79" s="318"/>
      <c r="H79" s="280">
        <v>56705.932909400006</v>
      </c>
      <c r="J79" s="359">
        <v>56705.932909400006</v>
      </c>
      <c r="K79" s="363"/>
      <c r="L79" s="358" t="str">
        <f t="shared" si="0"/>
        <v>OK</v>
      </c>
    </row>
    <row r="80" spans="1:12" s="69" customFormat="1" ht="63" customHeight="1">
      <c r="A80" s="244" t="s">
        <v>244</v>
      </c>
      <c r="B80" s="249">
        <v>92258</v>
      </c>
      <c r="C80" s="255" t="s">
        <v>219</v>
      </c>
      <c r="D80" s="261">
        <v>7</v>
      </c>
      <c r="E80" s="262" t="s">
        <v>314</v>
      </c>
      <c r="F80" s="245"/>
      <c r="G80" s="253">
        <v>245.88862</v>
      </c>
      <c r="H80" s="250">
        <v>1721.2203400000001</v>
      </c>
      <c r="J80" s="366">
        <v>1721.2203400000001</v>
      </c>
      <c r="K80" s="363"/>
      <c r="L80" s="358" t="str">
        <f t="shared" si="0"/>
        <v>OK</v>
      </c>
    </row>
    <row r="81" spans="1:12" s="69" customFormat="1" ht="77.25" customHeight="1">
      <c r="A81" s="244" t="s">
        <v>245</v>
      </c>
      <c r="B81" s="249">
        <v>92580</v>
      </c>
      <c r="C81" s="286" t="s">
        <v>220</v>
      </c>
      <c r="D81" s="261">
        <v>533.37</v>
      </c>
      <c r="E81" s="262" t="s">
        <v>300</v>
      </c>
      <c r="F81" s="245"/>
      <c r="G81" s="253">
        <v>33.424244000000002</v>
      </c>
      <c r="H81" s="250">
        <v>17827.489022280002</v>
      </c>
      <c r="J81" s="366">
        <v>17827.489022280002</v>
      </c>
      <c r="K81" s="363"/>
      <c r="L81" s="358" t="str">
        <f t="shared" si="0"/>
        <v>OK</v>
      </c>
    </row>
    <row r="82" spans="1:12" s="69" customFormat="1" ht="33">
      <c r="A82" s="244" t="s">
        <v>246</v>
      </c>
      <c r="B82" s="249">
        <v>94213</v>
      </c>
      <c r="C82" s="286" t="s">
        <v>221</v>
      </c>
      <c r="D82" s="261">
        <v>691.83600000000001</v>
      </c>
      <c r="E82" s="262" t="s">
        <v>300</v>
      </c>
      <c r="F82" s="245"/>
      <c r="G82" s="253">
        <v>40.116420000000005</v>
      </c>
      <c r="H82" s="250">
        <v>27753.983547120006</v>
      </c>
      <c r="J82" s="366">
        <v>27753.983547120006</v>
      </c>
      <c r="K82" s="363"/>
      <c r="L82" s="358" t="str">
        <f t="shared" si="0"/>
        <v>OK</v>
      </c>
    </row>
    <row r="83" spans="1:12" s="69" customFormat="1" ht="44.25" customHeight="1">
      <c r="A83" s="244" t="s">
        <v>332</v>
      </c>
      <c r="B83" s="249" t="s">
        <v>259</v>
      </c>
      <c r="C83" s="255" t="s">
        <v>222</v>
      </c>
      <c r="D83" s="261">
        <v>1232</v>
      </c>
      <c r="E83" s="262" t="s">
        <v>263</v>
      </c>
      <c r="F83" s="245"/>
      <c r="G83" s="253">
        <v>7.6325000000000003</v>
      </c>
      <c r="H83" s="250">
        <v>9403.24</v>
      </c>
      <c r="J83" s="366">
        <v>9403.24</v>
      </c>
      <c r="K83" s="363"/>
      <c r="L83" s="358" t="str">
        <f t="shared" si="0"/>
        <v>OK</v>
      </c>
    </row>
    <row r="84" spans="1:12" s="69" customFormat="1" ht="27.75" customHeight="1">
      <c r="A84" s="215" t="s">
        <v>247</v>
      </c>
      <c r="B84" s="215"/>
      <c r="C84" s="219" t="s">
        <v>223</v>
      </c>
      <c r="D84" s="224"/>
      <c r="E84" s="215"/>
      <c r="F84" s="215"/>
      <c r="G84" s="318"/>
      <c r="H84" s="280">
        <v>31638.447098038625</v>
      </c>
      <c r="J84" s="359">
        <v>31638.447098038625</v>
      </c>
      <c r="K84" s="363"/>
      <c r="L84" s="358" t="str">
        <f t="shared" ref="L84:L92" si="1">IF(H84=J84,"OK","FALSO")</f>
        <v>OK</v>
      </c>
    </row>
    <row r="85" spans="1:12" s="69" customFormat="1" ht="36.75" customHeight="1">
      <c r="A85" s="244" t="s">
        <v>248</v>
      </c>
      <c r="B85" s="249" t="s">
        <v>52</v>
      </c>
      <c r="C85" s="255" t="s">
        <v>224</v>
      </c>
      <c r="D85" s="261">
        <v>124</v>
      </c>
      <c r="E85" s="262" t="s">
        <v>262</v>
      </c>
      <c r="F85" s="245"/>
      <c r="G85" s="253">
        <v>209.11828800000004</v>
      </c>
      <c r="H85" s="250">
        <v>25930.667712000006</v>
      </c>
      <c r="J85" s="366">
        <v>25930.667712000006</v>
      </c>
      <c r="K85" s="363"/>
      <c r="L85" s="358" t="str">
        <f t="shared" si="1"/>
        <v>OK</v>
      </c>
    </row>
    <row r="86" spans="1:12" s="69" customFormat="1" ht="33">
      <c r="A86" s="244" t="s">
        <v>249</v>
      </c>
      <c r="B86" s="254">
        <v>94227</v>
      </c>
      <c r="C86" s="286" t="s">
        <v>225</v>
      </c>
      <c r="D86" s="261">
        <v>125</v>
      </c>
      <c r="E86" s="262" t="s">
        <v>262</v>
      </c>
      <c r="F86" s="257"/>
      <c r="G86" s="253">
        <v>37.637384000000004</v>
      </c>
      <c r="H86" s="250">
        <v>4704.6730000000007</v>
      </c>
      <c r="J86" s="366">
        <v>4704.6730000000007</v>
      </c>
      <c r="K86" s="363"/>
      <c r="L86" s="358" t="str">
        <f t="shared" si="1"/>
        <v>OK</v>
      </c>
    </row>
    <row r="87" spans="1:12" s="69" customFormat="1" ht="26.25" customHeight="1">
      <c r="A87" s="244" t="s">
        <v>250</v>
      </c>
      <c r="B87" s="254">
        <v>36365</v>
      </c>
      <c r="C87" s="285" t="s">
        <v>349</v>
      </c>
      <c r="D87" s="261">
        <v>32</v>
      </c>
      <c r="E87" s="262" t="s">
        <v>262</v>
      </c>
      <c r="F87" s="257"/>
      <c r="G87" s="253">
        <v>16.225520394176833</v>
      </c>
      <c r="H87" s="250">
        <v>519.21665261365865</v>
      </c>
      <c r="J87" s="366">
        <v>519.21665261365865</v>
      </c>
      <c r="K87" s="363"/>
      <c r="L87" s="358" t="str">
        <f t="shared" si="1"/>
        <v>OK</v>
      </c>
    </row>
    <row r="88" spans="1:12" s="69" customFormat="1" ht="26.25" customHeight="1">
      <c r="A88" s="244" t="s">
        <v>261</v>
      </c>
      <c r="B88" s="254">
        <v>38423</v>
      </c>
      <c r="C88" s="285" t="s">
        <v>350</v>
      </c>
      <c r="D88" s="261">
        <v>16</v>
      </c>
      <c r="E88" s="262" t="s">
        <v>314</v>
      </c>
      <c r="F88" s="257"/>
      <c r="G88" s="253">
        <v>30.24310833906031</v>
      </c>
      <c r="H88" s="250">
        <v>483.88973342496496</v>
      </c>
      <c r="J88" s="366">
        <v>483.88973342496496</v>
      </c>
      <c r="K88" s="363"/>
      <c r="L88" s="358" t="str">
        <f t="shared" si="1"/>
        <v>OK</v>
      </c>
    </row>
    <row r="89" spans="1:12" s="69" customFormat="1" ht="24.75" customHeight="1">
      <c r="A89" s="215" t="s">
        <v>251</v>
      </c>
      <c r="B89" s="215"/>
      <c r="C89" s="219" t="s">
        <v>226</v>
      </c>
      <c r="D89" s="224"/>
      <c r="E89" s="215"/>
      <c r="F89" s="215"/>
      <c r="G89" s="318"/>
      <c r="H89" s="280">
        <v>15073.778153759999</v>
      </c>
      <c r="J89" s="359">
        <v>15073.778153759999</v>
      </c>
      <c r="K89" s="363"/>
      <c r="L89" s="358" t="str">
        <f t="shared" si="1"/>
        <v>OK</v>
      </c>
    </row>
    <row r="90" spans="1:12" s="69" customFormat="1" ht="84" customHeight="1">
      <c r="A90" s="244" t="s">
        <v>252</v>
      </c>
      <c r="B90" s="249" t="s">
        <v>260</v>
      </c>
      <c r="C90" s="255" t="s">
        <v>227</v>
      </c>
      <c r="D90" s="261">
        <v>23.08</v>
      </c>
      <c r="E90" s="262" t="s">
        <v>300</v>
      </c>
      <c r="F90" s="245"/>
      <c r="G90" s="253">
        <v>653.10997199999997</v>
      </c>
      <c r="H90" s="250">
        <v>15073.778153759999</v>
      </c>
      <c r="J90" s="366">
        <v>15073.778153759999</v>
      </c>
      <c r="K90" s="363"/>
      <c r="L90" s="358" t="str">
        <f t="shared" si="1"/>
        <v>OK</v>
      </c>
    </row>
    <row r="91" spans="1:12" s="69" customFormat="1" ht="19.5" customHeight="1">
      <c r="A91" s="215" t="s">
        <v>253</v>
      </c>
      <c r="B91" s="215"/>
      <c r="C91" s="219" t="s">
        <v>228</v>
      </c>
      <c r="D91" s="224"/>
      <c r="E91" s="215"/>
      <c r="F91" s="215"/>
      <c r="G91" s="318"/>
      <c r="H91" s="280">
        <v>592.67424944000004</v>
      </c>
      <c r="J91" s="359">
        <v>592.67424944000004</v>
      </c>
      <c r="K91" s="363"/>
      <c r="L91" s="358" t="str">
        <f t="shared" si="1"/>
        <v>OK</v>
      </c>
    </row>
    <row r="92" spans="1:12" s="69" customFormat="1" ht="33.75" customHeight="1">
      <c r="A92" s="244" t="s">
        <v>254</v>
      </c>
      <c r="B92" s="249">
        <v>85180</v>
      </c>
      <c r="C92" s="255" t="s">
        <v>229</v>
      </c>
      <c r="D92" s="261">
        <v>51.74</v>
      </c>
      <c r="E92" s="262" t="s">
        <v>300</v>
      </c>
      <c r="F92" s="245"/>
      <c r="G92" s="253">
        <v>11.454856000000001</v>
      </c>
      <c r="H92" s="250">
        <v>592.67424944000004</v>
      </c>
      <c r="J92" s="366">
        <v>592.67424944000004</v>
      </c>
      <c r="K92" s="363"/>
      <c r="L92" s="358" t="str">
        <f t="shared" si="1"/>
        <v>OK</v>
      </c>
    </row>
    <row r="93" spans="1:12" s="228" customFormat="1" ht="15.75">
      <c r="A93" s="614"/>
      <c r="B93" s="615"/>
      <c r="C93" s="615"/>
      <c r="D93" s="615"/>
      <c r="E93" s="615"/>
      <c r="F93" s="615"/>
      <c r="G93" s="615"/>
      <c r="H93" s="616"/>
      <c r="J93" s="348"/>
      <c r="L93" s="350"/>
    </row>
    <row r="94" spans="1:12" s="86" customFormat="1" ht="21" customHeight="1">
      <c r="A94" s="555"/>
      <c r="B94" s="556"/>
      <c r="C94" s="556"/>
      <c r="D94" s="556"/>
      <c r="E94" s="556"/>
      <c r="F94" s="556"/>
      <c r="G94" s="556"/>
      <c r="H94" s="338">
        <f>SUM(H19,H22,H24,H26,H35,H53,H60,H64,H67,H71,H73,H79,H84,H89,H91)</f>
        <v>414171.72400150693</v>
      </c>
      <c r="J94" s="357">
        <v>414171.72400150693</v>
      </c>
      <c r="L94" s="355"/>
    </row>
    <row r="95" spans="1:12" ht="13.5" customHeight="1">
      <c r="A95" s="604"/>
      <c r="B95" s="604"/>
      <c r="C95" s="604"/>
      <c r="D95" s="604"/>
      <c r="E95" s="604"/>
      <c r="F95" s="604"/>
      <c r="G95" s="604"/>
      <c r="H95" s="604"/>
    </row>
    <row r="96" spans="1:12" ht="12" customHeight="1">
      <c r="A96" s="564"/>
      <c r="B96" s="567"/>
      <c r="C96" s="567"/>
      <c r="D96" s="567"/>
      <c r="E96" s="567"/>
      <c r="F96" s="567"/>
      <c r="G96" s="567"/>
      <c r="H96" s="567"/>
    </row>
    <row r="97" spans="1:12" ht="45" customHeight="1">
      <c r="A97" s="565"/>
      <c r="B97" s="617" t="s">
        <v>345</v>
      </c>
      <c r="C97" s="618"/>
      <c r="D97" s="618"/>
      <c r="E97" s="619"/>
      <c r="F97" s="260"/>
      <c r="G97" s="517">
        <f>H94</f>
        <v>414171.72400150693</v>
      </c>
      <c r="H97" s="518"/>
    </row>
    <row r="98" spans="1:12" ht="12" customHeight="1">
      <c r="A98" s="566"/>
      <c r="B98" s="567"/>
      <c r="C98" s="567"/>
      <c r="D98" s="567"/>
      <c r="E98" s="567"/>
      <c r="F98" s="567"/>
      <c r="G98" s="567"/>
      <c r="H98" s="567"/>
    </row>
    <row r="99" spans="1:12" s="191" customFormat="1" ht="15.75" customHeight="1">
      <c r="A99" s="187"/>
      <c r="B99" s="611"/>
      <c r="C99" s="611"/>
      <c r="D99" s="611"/>
      <c r="E99" s="611"/>
      <c r="F99" s="611"/>
      <c r="G99" s="611"/>
      <c r="H99" s="611"/>
      <c r="J99" s="349"/>
      <c r="L99" s="356"/>
    </row>
    <row r="100" spans="1:12" ht="22.5" customHeight="1">
      <c r="A100" s="607" t="s">
        <v>89</v>
      </c>
      <c r="B100" s="605" t="s">
        <v>340</v>
      </c>
      <c r="C100" s="606"/>
      <c r="D100" s="605" t="s">
        <v>341</v>
      </c>
      <c r="E100" s="606"/>
      <c r="F100" s="606"/>
      <c r="G100" s="606"/>
      <c r="H100" s="610"/>
    </row>
    <row r="101" spans="1:12" ht="309.75" customHeight="1">
      <c r="A101" s="608"/>
      <c r="B101" s="539" t="s">
        <v>158</v>
      </c>
      <c r="C101" s="548"/>
      <c r="D101" s="539" t="s">
        <v>159</v>
      </c>
      <c r="E101" s="548"/>
      <c r="F101" s="548"/>
      <c r="G101" s="548"/>
      <c r="H101" s="540"/>
    </row>
    <row r="102" spans="1:12">
      <c r="A102" s="608"/>
      <c r="B102" s="511" t="s">
        <v>269</v>
      </c>
      <c r="C102" s="512"/>
      <c r="D102" s="511" t="s">
        <v>266</v>
      </c>
      <c r="E102" s="512"/>
      <c r="F102" s="512"/>
      <c r="G102" s="512"/>
      <c r="H102" s="513"/>
    </row>
    <row r="103" spans="1:12">
      <c r="A103" s="608"/>
      <c r="B103" s="511" t="s">
        <v>270</v>
      </c>
      <c r="C103" s="512"/>
      <c r="D103" s="511" t="s">
        <v>267</v>
      </c>
      <c r="E103" s="512"/>
      <c r="F103" s="512"/>
      <c r="G103" s="512"/>
      <c r="H103" s="513"/>
    </row>
    <row r="104" spans="1:12" ht="26.25" customHeight="1">
      <c r="A104" s="609"/>
      <c r="B104" s="510" t="s">
        <v>271</v>
      </c>
      <c r="C104" s="508"/>
      <c r="D104" s="510" t="s">
        <v>268</v>
      </c>
      <c r="E104" s="508"/>
      <c r="F104" s="508"/>
      <c r="G104" s="508"/>
      <c r="H104" s="509"/>
    </row>
    <row r="105" spans="1:12" ht="97.5" customHeight="1">
      <c r="B105" s="603"/>
      <c r="C105" s="603"/>
      <c r="D105" s="603"/>
      <c r="E105" s="603"/>
      <c r="F105" s="603"/>
      <c r="G105" s="603"/>
      <c r="H105" s="603"/>
    </row>
    <row r="106" spans="1:12" ht="22.5" customHeight="1">
      <c r="A106" s="607" t="s">
        <v>89</v>
      </c>
      <c r="B106" s="605" t="s">
        <v>342</v>
      </c>
      <c r="C106" s="606"/>
      <c r="D106" s="606"/>
      <c r="E106" s="606"/>
      <c r="F106" s="606"/>
      <c r="G106" s="606"/>
      <c r="H106" s="610"/>
    </row>
    <row r="107" spans="1:12" ht="290.25" customHeight="1">
      <c r="A107" s="608"/>
      <c r="B107" s="539" t="s">
        <v>158</v>
      </c>
      <c r="C107" s="548"/>
      <c r="D107" s="548"/>
      <c r="E107" s="548"/>
      <c r="F107" s="548"/>
      <c r="G107" s="548"/>
      <c r="H107" s="540"/>
    </row>
    <row r="108" spans="1:12">
      <c r="A108" s="608"/>
      <c r="B108" s="511" t="s">
        <v>339</v>
      </c>
      <c r="C108" s="512"/>
      <c r="D108" s="512"/>
      <c r="E108" s="512"/>
      <c r="F108" s="512"/>
      <c r="G108" s="512"/>
      <c r="H108" s="513"/>
    </row>
    <row r="109" spans="1:12">
      <c r="A109" s="608"/>
      <c r="B109" s="511" t="s">
        <v>343</v>
      </c>
      <c r="C109" s="512"/>
      <c r="D109" s="512"/>
      <c r="E109" s="512"/>
      <c r="F109" s="512"/>
      <c r="G109" s="512"/>
      <c r="H109" s="513"/>
    </row>
    <row r="110" spans="1:12">
      <c r="A110" s="609"/>
      <c r="B110" s="510" t="s">
        <v>344</v>
      </c>
      <c r="C110" s="508"/>
      <c r="D110" s="508"/>
      <c r="E110" s="508"/>
      <c r="F110" s="508"/>
      <c r="G110" s="508"/>
      <c r="H110" s="509"/>
    </row>
    <row r="112" spans="1:12">
      <c r="H112" s="13">
        <f>100.48*(1+C136)</f>
        <v>128.39334400000001</v>
      </c>
    </row>
    <row r="120" spans="3:7">
      <c r="C120" s="46" t="s">
        <v>303</v>
      </c>
      <c r="D120" s="3">
        <v>0.22120000000000001</v>
      </c>
    </row>
    <row r="121" spans="3:7">
      <c r="C121" s="46" t="s">
        <v>304</v>
      </c>
      <c r="D121" s="3">
        <v>0.22120000000000001</v>
      </c>
      <c r="E121" s="238">
        <v>1.2212000000000001</v>
      </c>
    </row>
    <row r="122" spans="3:7">
      <c r="C122" s="46"/>
    </row>
    <row r="123" spans="3:7">
      <c r="C123" s="46" t="s">
        <v>301</v>
      </c>
      <c r="D123" s="1">
        <v>395424.05</v>
      </c>
      <c r="G123" s="1">
        <v>499282.16</v>
      </c>
    </row>
    <row r="124" spans="3:7">
      <c r="C124" s="46" t="s">
        <v>302</v>
      </c>
      <c r="D124" s="1">
        <v>300389.75</v>
      </c>
      <c r="G124" s="1">
        <v>493209.28</v>
      </c>
    </row>
    <row r="126" spans="3:7">
      <c r="D126" s="237">
        <f>((D123-D124)/D123)</f>
        <v>0.24033515412125284</v>
      </c>
    </row>
    <row r="127" spans="3:7">
      <c r="D127" s="236"/>
    </row>
    <row r="132" spans="3:3">
      <c r="C132" s="13" t="s">
        <v>48</v>
      </c>
    </row>
    <row r="134" spans="3:3">
      <c r="C134" s="13" t="s">
        <v>49</v>
      </c>
    </row>
    <row r="135" spans="3:3">
      <c r="C135" s="13" t="s">
        <v>50</v>
      </c>
    </row>
    <row r="136" spans="3:3">
      <c r="C136" s="4">
        <f xml:space="preserve"> 29% - 1.22%</f>
        <v>0.27779999999999999</v>
      </c>
    </row>
  </sheetData>
  <mergeCells count="41">
    <mergeCell ref="D11:E11"/>
    <mergeCell ref="A96:A98"/>
    <mergeCell ref="B96:H96"/>
    <mergeCell ref="B97:E97"/>
    <mergeCell ref="G97:H97"/>
    <mergeCell ref="B98:H98"/>
    <mergeCell ref="D14:E14"/>
    <mergeCell ref="C12:G12"/>
    <mergeCell ref="A4:H4"/>
    <mergeCell ref="A5:H5"/>
    <mergeCell ref="A6:H6"/>
    <mergeCell ref="A7:H7"/>
    <mergeCell ref="A9:H10"/>
    <mergeCell ref="D100:H100"/>
    <mergeCell ref="B99:H99"/>
    <mergeCell ref="D15:E15"/>
    <mergeCell ref="G15:H15"/>
    <mergeCell ref="A93:H93"/>
    <mergeCell ref="A100:A104"/>
    <mergeCell ref="A106:A110"/>
    <mergeCell ref="B106:H106"/>
    <mergeCell ref="B107:H107"/>
    <mergeCell ref="B108:H108"/>
    <mergeCell ref="B109:H109"/>
    <mergeCell ref="B110:H110"/>
    <mergeCell ref="B105:H105"/>
    <mergeCell ref="A94:G94"/>
    <mergeCell ref="A95:H95"/>
    <mergeCell ref="A17:A18"/>
    <mergeCell ref="B17:B18"/>
    <mergeCell ref="C17:C18"/>
    <mergeCell ref="D17:H17"/>
    <mergeCell ref="B101:C101"/>
    <mergeCell ref="D101:H101"/>
    <mergeCell ref="B102:C102"/>
    <mergeCell ref="D102:H102"/>
    <mergeCell ref="B103:C103"/>
    <mergeCell ref="D103:H103"/>
    <mergeCell ref="B104:C104"/>
    <mergeCell ref="D104:H104"/>
    <mergeCell ref="B100:C100"/>
  </mergeCells>
  <phoneticPr fontId="67" type="noConversion"/>
  <pageMargins left="0.51181102362204722" right="0.51181102362204722" top="0.78740157480314965" bottom="0.78740157480314965" header="0.31496062992125984" footer="0.31496062992125984"/>
  <pageSetup paperSize="9" scale="35" orientation="portrait" r:id="rId1"/>
  <rowBreaks count="2" manualBreakCount="2">
    <brk id="52" max="11" man="1"/>
    <brk id="8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4"/>
  <sheetViews>
    <sheetView view="pageBreakPreview" topLeftCell="A25" zoomScaleNormal="100" zoomScaleSheetLayoutView="100" workbookViewId="0">
      <selection activeCell="G44" sqref="G44"/>
    </sheetView>
  </sheetViews>
  <sheetFormatPr defaultRowHeight="15"/>
  <cols>
    <col min="1" max="1" width="21.42578125" customWidth="1"/>
    <col min="2" max="2" width="50.42578125" customWidth="1"/>
    <col min="3" max="3" width="22.28515625" customWidth="1"/>
    <col min="4" max="4" width="24.28515625" customWidth="1"/>
    <col min="5" max="5" width="21.140625" customWidth="1"/>
    <col min="6" max="6" width="20.28515625" customWidth="1"/>
    <col min="7" max="7" width="21.42578125" customWidth="1"/>
    <col min="9" max="9" width="15.140625" customWidth="1"/>
  </cols>
  <sheetData>
    <row r="1" spans="1:7" ht="20.25">
      <c r="A1" s="173"/>
      <c r="B1" s="173"/>
      <c r="C1" s="173"/>
      <c r="D1" s="173"/>
      <c r="E1" s="173"/>
      <c r="F1" s="626"/>
      <c r="G1" s="626"/>
    </row>
    <row r="2" spans="1:7" ht="20.25">
      <c r="A2" s="173"/>
      <c r="B2" s="173"/>
      <c r="C2" s="173"/>
      <c r="D2" s="173"/>
      <c r="E2" s="173"/>
      <c r="F2" s="626" t="s">
        <v>291</v>
      </c>
      <c r="G2" s="626"/>
    </row>
    <row r="3" spans="1:7" s="13" customFormat="1">
      <c r="A3" s="209"/>
      <c r="B3" s="209"/>
      <c r="C3" s="209"/>
      <c r="D3" s="626"/>
      <c r="E3" s="626"/>
      <c r="F3" s="628">
        <v>0.22120000000000001</v>
      </c>
      <c r="G3" s="625"/>
    </row>
    <row r="4" spans="1:7" s="13" customFormat="1" ht="29.25" customHeight="1" thickBot="1">
      <c r="A4" s="203"/>
      <c r="B4" s="203"/>
      <c r="C4" s="203"/>
      <c r="D4" s="625"/>
      <c r="E4" s="625"/>
      <c r="F4" s="625"/>
      <c r="G4" s="625"/>
    </row>
    <row r="5" spans="1:7" ht="20.25" thickTop="1" thickBot="1">
      <c r="A5" s="629" t="s">
        <v>152</v>
      </c>
      <c r="B5" s="630"/>
      <c r="C5" s="630"/>
      <c r="D5" s="630"/>
      <c r="E5" s="630"/>
      <c r="F5" s="630"/>
      <c r="G5" s="630"/>
    </row>
    <row r="6" spans="1:7" ht="15.75" thickTop="1">
      <c r="A6" s="174" t="s">
        <v>153</v>
      </c>
      <c r="B6" s="631" t="s">
        <v>290</v>
      </c>
      <c r="C6" s="631"/>
      <c r="D6" s="631"/>
      <c r="E6" s="631"/>
      <c r="F6" s="631"/>
      <c r="G6" s="631"/>
    </row>
    <row r="7" spans="1:7" ht="18" customHeight="1" thickBot="1">
      <c r="A7" s="175" t="s">
        <v>154</v>
      </c>
      <c r="B7" s="176" t="s">
        <v>155</v>
      </c>
      <c r="C7" s="176"/>
      <c r="D7" s="177"/>
      <c r="E7" s="177"/>
      <c r="F7" s="627" t="s">
        <v>326</v>
      </c>
      <c r="G7" s="627"/>
    </row>
    <row r="8" spans="1:7" ht="5.25" customHeight="1" thickTop="1">
      <c r="A8" s="178"/>
      <c r="B8" s="179"/>
      <c r="C8" s="179"/>
      <c r="D8" s="179"/>
      <c r="E8" s="180"/>
      <c r="F8" s="180"/>
      <c r="G8" s="180"/>
    </row>
    <row r="9" spans="1:7" ht="17.25" customHeight="1">
      <c r="A9" s="192" t="s">
        <v>131</v>
      </c>
      <c r="B9" s="192" t="s">
        <v>276</v>
      </c>
      <c r="C9" s="192" t="s">
        <v>277</v>
      </c>
      <c r="D9" s="192" t="s">
        <v>278</v>
      </c>
      <c r="E9" s="192" t="s">
        <v>279</v>
      </c>
      <c r="F9" s="192" t="s">
        <v>280</v>
      </c>
      <c r="G9" s="192" t="s">
        <v>281</v>
      </c>
    </row>
    <row r="10" spans="1:7">
      <c r="A10" s="621" t="s">
        <v>1</v>
      </c>
      <c r="B10" s="623" t="s">
        <v>170</v>
      </c>
      <c r="C10" s="337">
        <v>1</v>
      </c>
      <c r="D10" s="193">
        <f>C10</f>
        <v>1</v>
      </c>
      <c r="E10" s="194" t="s">
        <v>156</v>
      </c>
      <c r="F10" s="194" t="s">
        <v>156</v>
      </c>
      <c r="G10" s="194" t="s">
        <v>156</v>
      </c>
    </row>
    <row r="11" spans="1:7" ht="15.75" thickBot="1">
      <c r="A11" s="622"/>
      <c r="B11" s="624"/>
      <c r="C11" s="336">
        <f>'PLANILHA FINAL'!H19</f>
        <v>7329.9843360000004</v>
      </c>
      <c r="D11" s="195">
        <f>C11</f>
        <v>7329.9843360000004</v>
      </c>
      <c r="E11" s="196"/>
      <c r="F11" s="196"/>
      <c r="G11" s="196"/>
    </row>
    <row r="12" spans="1:7" ht="15.75" thickTop="1">
      <c r="A12" s="621" t="s">
        <v>5</v>
      </c>
      <c r="B12" s="632" t="s">
        <v>2</v>
      </c>
      <c r="C12" s="337">
        <v>1</v>
      </c>
      <c r="D12" s="197">
        <f>C12</f>
        <v>1</v>
      </c>
      <c r="E12" s="194" t="s">
        <v>156</v>
      </c>
      <c r="F12" s="194" t="s">
        <v>156</v>
      </c>
      <c r="G12" s="194"/>
    </row>
    <row r="13" spans="1:7" ht="15.75" thickBot="1">
      <c r="A13" s="622"/>
      <c r="B13" s="624"/>
      <c r="C13" s="336">
        <f>'PLANILHA FINAL'!H22</f>
        <v>529.56116800000007</v>
      </c>
      <c r="D13" s="195">
        <f>C13</f>
        <v>529.56116800000007</v>
      </c>
      <c r="E13" s="196"/>
      <c r="F13" s="196"/>
      <c r="G13" s="196"/>
    </row>
    <row r="14" spans="1:7" ht="15.75" thickTop="1">
      <c r="A14" s="621" t="s">
        <v>7</v>
      </c>
      <c r="B14" s="632" t="s">
        <v>8</v>
      </c>
      <c r="C14" s="337">
        <v>1</v>
      </c>
      <c r="D14" s="197">
        <v>0.25</v>
      </c>
      <c r="E14" s="197">
        <v>0.25</v>
      </c>
      <c r="F14" s="197">
        <v>0.25</v>
      </c>
      <c r="G14" s="197">
        <v>0.25</v>
      </c>
    </row>
    <row r="15" spans="1:7" ht="15.75" thickBot="1">
      <c r="A15" s="622"/>
      <c r="B15" s="624"/>
      <c r="C15" s="336">
        <f>'PLANILHA FINAL'!H24</f>
        <v>22091.959844000001</v>
      </c>
      <c r="D15" s="195">
        <f>C15/4</f>
        <v>5522.9899610000002</v>
      </c>
      <c r="E15" s="195">
        <f>C15/4</f>
        <v>5522.9899610000002</v>
      </c>
      <c r="F15" s="195">
        <f>C15/4</f>
        <v>5522.9899610000002</v>
      </c>
      <c r="G15" s="195">
        <f>C15/4</f>
        <v>5522.9899610000002</v>
      </c>
    </row>
    <row r="16" spans="1:7" ht="15.75" thickTop="1">
      <c r="A16" s="621" t="s">
        <v>11</v>
      </c>
      <c r="B16" s="623" t="s">
        <v>171</v>
      </c>
      <c r="C16" s="337">
        <v>1</v>
      </c>
      <c r="D16" s="197">
        <f>C16</f>
        <v>1</v>
      </c>
      <c r="E16" s="200" t="s">
        <v>156</v>
      </c>
      <c r="F16" s="288" t="s">
        <v>156</v>
      </c>
      <c r="G16" s="288" t="s">
        <v>156</v>
      </c>
    </row>
    <row r="17" spans="1:9" ht="15.75" thickBot="1">
      <c r="A17" s="622"/>
      <c r="B17" s="624"/>
      <c r="C17" s="336">
        <f>'PLANILHA FINAL'!H26</f>
        <v>17002.583485927578</v>
      </c>
      <c r="D17" s="195">
        <f>C17</f>
        <v>17002.583485927578</v>
      </c>
      <c r="E17" s="201"/>
      <c r="F17" s="289"/>
      <c r="G17" s="196"/>
    </row>
    <row r="18" spans="1:9" ht="15.75" thickTop="1">
      <c r="A18" s="621" t="s">
        <v>13</v>
      </c>
      <c r="B18" s="623" t="s">
        <v>179</v>
      </c>
      <c r="C18" s="337">
        <v>1</v>
      </c>
      <c r="D18" s="194" t="s">
        <v>156</v>
      </c>
      <c r="E18" s="202">
        <f t="shared" ref="E18:E25" si="0">C18/2</f>
        <v>0.5</v>
      </c>
      <c r="F18" s="202">
        <f t="shared" ref="F18:F27" si="1">C18/2</f>
        <v>0.5</v>
      </c>
      <c r="G18" s="194" t="s">
        <v>156</v>
      </c>
    </row>
    <row r="19" spans="1:9" ht="15.75" thickBot="1">
      <c r="A19" s="622"/>
      <c r="B19" s="624"/>
      <c r="C19" s="336">
        <f>'PLANILHA FINAL'!H35</f>
        <v>14294.542096104351</v>
      </c>
      <c r="D19" s="196"/>
      <c r="E19" s="292">
        <f t="shared" si="0"/>
        <v>7147.2710480521755</v>
      </c>
      <c r="F19" s="292">
        <f t="shared" si="1"/>
        <v>7147.2710480521755</v>
      </c>
      <c r="G19" s="196"/>
    </row>
    <row r="20" spans="1:9" ht="15.75" thickTop="1">
      <c r="A20" s="621" t="s">
        <v>18</v>
      </c>
      <c r="B20" s="623" t="s">
        <v>192</v>
      </c>
      <c r="C20" s="337">
        <v>1</v>
      </c>
      <c r="D20" s="194" t="s">
        <v>156</v>
      </c>
      <c r="E20" s="202">
        <f t="shared" si="0"/>
        <v>0.5</v>
      </c>
      <c r="F20" s="202">
        <f t="shared" si="1"/>
        <v>0.5</v>
      </c>
      <c r="G20" s="194" t="s">
        <v>156</v>
      </c>
    </row>
    <row r="21" spans="1:9" ht="18" customHeight="1" thickBot="1">
      <c r="A21" s="622"/>
      <c r="B21" s="624"/>
      <c r="C21" s="336">
        <f>'PLANILHA FINAL'!H53</f>
        <v>9658.2902195323859</v>
      </c>
      <c r="D21" s="196"/>
      <c r="E21" s="195">
        <f t="shared" si="0"/>
        <v>4829.1451097661929</v>
      </c>
      <c r="F21" s="195">
        <f t="shared" si="1"/>
        <v>4829.1451097661929</v>
      </c>
      <c r="G21" s="196"/>
    </row>
    <row r="22" spans="1:9" ht="15.75" thickTop="1">
      <c r="A22" s="621" t="s">
        <v>22</v>
      </c>
      <c r="B22" s="623" t="s">
        <v>201</v>
      </c>
      <c r="C22" s="337">
        <v>1</v>
      </c>
      <c r="D22" s="194" t="s">
        <v>156</v>
      </c>
      <c r="E22" s="197">
        <f t="shared" si="0"/>
        <v>0.5</v>
      </c>
      <c r="F22" s="197">
        <f t="shared" si="1"/>
        <v>0.5</v>
      </c>
      <c r="G22" s="194" t="s">
        <v>156</v>
      </c>
    </row>
    <row r="23" spans="1:9" ht="15" customHeight="1" thickBot="1">
      <c r="A23" s="622"/>
      <c r="B23" s="624"/>
      <c r="C23" s="336">
        <f>'PLANILHA FINAL'!H60</f>
        <v>12504.655499807999</v>
      </c>
      <c r="D23" s="196"/>
      <c r="E23" s="195">
        <f t="shared" si="0"/>
        <v>6252.3277499039996</v>
      </c>
      <c r="F23" s="195">
        <f t="shared" si="1"/>
        <v>6252.3277499039996</v>
      </c>
      <c r="G23" s="196"/>
    </row>
    <row r="24" spans="1:9" ht="15.75" thickTop="1">
      <c r="A24" s="621" t="s">
        <v>233</v>
      </c>
      <c r="B24" s="623" t="s">
        <v>205</v>
      </c>
      <c r="C24" s="337">
        <v>1</v>
      </c>
      <c r="D24" s="194" t="s">
        <v>156</v>
      </c>
      <c r="E24" s="198">
        <f t="shared" si="0"/>
        <v>0.5</v>
      </c>
      <c r="F24" s="202">
        <f t="shared" si="1"/>
        <v>0.5</v>
      </c>
      <c r="G24" s="290" t="s">
        <v>156</v>
      </c>
    </row>
    <row r="25" spans="1:9" s="13" customFormat="1" ht="11.25" customHeight="1" thickBot="1">
      <c r="A25" s="622"/>
      <c r="B25" s="624"/>
      <c r="C25" s="336">
        <f>'PLANILHA FINAL'!H64</f>
        <v>25241.870856640002</v>
      </c>
      <c r="D25" s="196"/>
      <c r="E25" s="195">
        <f t="shared" si="0"/>
        <v>12620.935428320001</v>
      </c>
      <c r="F25" s="195">
        <f t="shared" si="1"/>
        <v>12620.935428320001</v>
      </c>
      <c r="G25" s="290"/>
    </row>
    <row r="26" spans="1:9" s="13" customFormat="1" ht="15.75" thickTop="1">
      <c r="A26" s="621" t="s">
        <v>236</v>
      </c>
      <c r="B26" s="623" t="s">
        <v>208</v>
      </c>
      <c r="C26" s="337">
        <v>1</v>
      </c>
      <c r="D26" s="194" t="s">
        <v>156</v>
      </c>
      <c r="E26" s="199" t="s">
        <v>156</v>
      </c>
      <c r="F26" s="197">
        <f t="shared" si="1"/>
        <v>0.5</v>
      </c>
      <c r="G26" s="197">
        <f>C26/2</f>
        <v>0.5</v>
      </c>
    </row>
    <row r="27" spans="1:9" s="13" customFormat="1" ht="15.75" thickBot="1">
      <c r="A27" s="622"/>
      <c r="B27" s="624"/>
      <c r="C27" s="336">
        <f>'PLANILHA FINAL'!H67</f>
        <v>36877.635082704008</v>
      </c>
      <c r="D27" s="196"/>
      <c r="E27" s="196"/>
      <c r="F27" s="195">
        <f t="shared" si="1"/>
        <v>18438.817541352004</v>
      </c>
      <c r="G27" s="195">
        <f>C27/2</f>
        <v>18438.817541352004</v>
      </c>
    </row>
    <row r="28" spans="1:9" s="13" customFormat="1" ht="15.75" thickTop="1">
      <c r="A28" s="621" t="s">
        <v>239</v>
      </c>
      <c r="B28" s="623" t="s">
        <v>212</v>
      </c>
      <c r="C28" s="337">
        <v>1</v>
      </c>
      <c r="D28" s="194" t="s">
        <v>156</v>
      </c>
      <c r="E28" s="194"/>
      <c r="F28" s="197">
        <f>C28</f>
        <v>1</v>
      </c>
      <c r="G28" s="197"/>
    </row>
    <row r="29" spans="1:9" s="13" customFormat="1" ht="15.75" thickBot="1">
      <c r="A29" s="622"/>
      <c r="B29" s="624"/>
      <c r="C29" s="336">
        <f>'PLANILHA FINAL'!H71</f>
        <v>2145.0966618400003</v>
      </c>
      <c r="D29" s="196"/>
      <c r="E29" s="196"/>
      <c r="F29" s="195">
        <f>C29</f>
        <v>2145.0966618400003</v>
      </c>
      <c r="G29" s="196"/>
    </row>
    <row r="30" spans="1:9" s="13" customFormat="1" ht="15.75" thickTop="1">
      <c r="A30" s="621" t="s">
        <v>241</v>
      </c>
      <c r="B30" s="623" t="s">
        <v>214</v>
      </c>
      <c r="C30" s="337">
        <v>1</v>
      </c>
      <c r="D30" s="193">
        <f>C30/4</f>
        <v>0.25</v>
      </c>
      <c r="E30" s="193">
        <f>C30/4</f>
        <v>0.25</v>
      </c>
      <c r="F30" s="193">
        <f>C30/4</f>
        <v>0.25</v>
      </c>
      <c r="G30" s="193">
        <f>C30/4</f>
        <v>0.25</v>
      </c>
    </row>
    <row r="31" spans="1:9" s="13" customFormat="1" ht="15.75" thickBot="1">
      <c r="A31" s="622"/>
      <c r="B31" s="624"/>
      <c r="C31" s="336">
        <f>'PLANILHA FINAL'!H73</f>
        <v>162484.7123403119</v>
      </c>
      <c r="D31" s="195">
        <f>C31/4</f>
        <v>40621.178085077976</v>
      </c>
      <c r="E31" s="195">
        <f>C31/4</f>
        <v>40621.178085077976</v>
      </c>
      <c r="F31" s="195">
        <f>C31/4</f>
        <v>40621.178085077976</v>
      </c>
      <c r="G31" s="195">
        <f>C31/4</f>
        <v>40621.178085077976</v>
      </c>
      <c r="I31" s="293"/>
    </row>
    <row r="32" spans="1:9" s="13" customFormat="1" ht="15.75" thickTop="1">
      <c r="A32" s="621" t="s">
        <v>243</v>
      </c>
      <c r="B32" s="623" t="s">
        <v>218</v>
      </c>
      <c r="C32" s="337">
        <v>1</v>
      </c>
      <c r="D32" s="199" t="s">
        <v>156</v>
      </c>
      <c r="E32" s="202">
        <f>C32/2</f>
        <v>0.5</v>
      </c>
      <c r="F32" s="202">
        <f>C32/2</f>
        <v>0.5</v>
      </c>
      <c r="G32" s="202"/>
    </row>
    <row r="33" spans="1:9" s="13" customFormat="1" ht="15.75" thickBot="1">
      <c r="A33" s="622"/>
      <c r="B33" s="624"/>
      <c r="C33" s="336">
        <f>'PLANILHA FINAL'!H79</f>
        <v>56705.932909400006</v>
      </c>
      <c r="D33" s="196"/>
      <c r="E33" s="195">
        <f>C33/2</f>
        <v>28352.966454700003</v>
      </c>
      <c r="F33" s="195">
        <f>C33/2</f>
        <v>28352.966454700003</v>
      </c>
      <c r="G33" s="291"/>
    </row>
    <row r="34" spans="1:9" s="13" customFormat="1" ht="15.75" thickTop="1">
      <c r="A34" s="621" t="s">
        <v>247</v>
      </c>
      <c r="B34" s="623" t="s">
        <v>223</v>
      </c>
      <c r="C34" s="337">
        <v>1</v>
      </c>
      <c r="D34" s="194" t="s">
        <v>156</v>
      </c>
      <c r="E34" s="194" t="s">
        <v>156</v>
      </c>
      <c r="F34" s="199" t="s">
        <v>156</v>
      </c>
      <c r="G34" s="197">
        <f t="shared" ref="G34:G39" si="2">C34</f>
        <v>1</v>
      </c>
    </row>
    <row r="35" spans="1:9" s="13" customFormat="1" ht="15.75" thickBot="1">
      <c r="A35" s="622"/>
      <c r="B35" s="624"/>
      <c r="C35" s="336">
        <f>'PLANILHA FINAL'!H84</f>
        <v>31638.447098038625</v>
      </c>
      <c r="D35" s="196"/>
      <c r="E35" s="196"/>
      <c r="F35" s="196"/>
      <c r="G35" s="195">
        <f t="shared" si="2"/>
        <v>31638.447098038625</v>
      </c>
    </row>
    <row r="36" spans="1:9" s="13" customFormat="1" ht="15.75" thickTop="1">
      <c r="A36" s="621" t="s">
        <v>251</v>
      </c>
      <c r="B36" s="623" t="s">
        <v>226</v>
      </c>
      <c r="C36" s="337">
        <v>1</v>
      </c>
      <c r="D36" s="194" t="s">
        <v>156</v>
      </c>
      <c r="E36" s="194" t="s">
        <v>156</v>
      </c>
      <c r="F36" s="194" t="s">
        <v>156</v>
      </c>
      <c r="G36" s="197">
        <f t="shared" si="2"/>
        <v>1</v>
      </c>
    </row>
    <row r="37" spans="1:9" s="13" customFormat="1" ht="15.75" thickBot="1">
      <c r="A37" s="622"/>
      <c r="B37" s="624"/>
      <c r="C37" s="336">
        <f>'PLANILHA FINAL'!H89</f>
        <v>15073.778153759999</v>
      </c>
      <c r="D37" s="196"/>
      <c r="E37" s="196"/>
      <c r="F37" s="196"/>
      <c r="G37" s="195">
        <f t="shared" si="2"/>
        <v>15073.778153759999</v>
      </c>
    </row>
    <row r="38" spans="1:9" s="13" customFormat="1" ht="15.75" thickTop="1">
      <c r="A38" s="621" t="s">
        <v>253</v>
      </c>
      <c r="B38" s="623" t="s">
        <v>228</v>
      </c>
      <c r="C38" s="337">
        <v>1</v>
      </c>
      <c r="D38" s="194" t="s">
        <v>156</v>
      </c>
      <c r="E38" s="194" t="s">
        <v>156</v>
      </c>
      <c r="F38" s="194" t="s">
        <v>156</v>
      </c>
      <c r="G38" s="193">
        <f t="shared" si="2"/>
        <v>1</v>
      </c>
    </row>
    <row r="39" spans="1:9" s="13" customFormat="1" ht="15.75" thickBot="1">
      <c r="A39" s="622"/>
      <c r="B39" s="624"/>
      <c r="C39" s="336">
        <f>'PLANILHA FINAL'!H91</f>
        <v>592.67424944000004</v>
      </c>
      <c r="D39" s="196"/>
      <c r="E39" s="196"/>
      <c r="F39" s="196"/>
      <c r="G39" s="195">
        <f t="shared" si="2"/>
        <v>592.67424944000004</v>
      </c>
    </row>
    <row r="40" spans="1:9" s="13" customFormat="1" ht="8.25" customHeight="1" thickTop="1">
      <c r="A40" s="271"/>
      <c r="B40" s="272"/>
      <c r="C40" s="273"/>
      <c r="D40" s="274"/>
      <c r="E40" s="274"/>
      <c r="F40" s="274"/>
      <c r="G40" s="275"/>
    </row>
    <row r="41" spans="1:9" s="13" customFormat="1">
      <c r="A41" s="625" t="s">
        <v>282</v>
      </c>
      <c r="B41" s="625"/>
      <c r="C41" s="203"/>
      <c r="D41" s="204">
        <f>D42/I43</f>
        <v>0.17144168208775937</v>
      </c>
      <c r="E41" s="204">
        <f>E42/I43</f>
        <v>0.25435539833336634</v>
      </c>
      <c r="F41" s="204">
        <f>F42/I43</f>
        <v>0.30405438310306804</v>
      </c>
      <c r="G41" s="204">
        <f>G42/I43</f>
        <v>0.27014853647580611</v>
      </c>
    </row>
    <row r="42" spans="1:9" s="13" customFormat="1">
      <c r="A42" s="625" t="s">
        <v>283</v>
      </c>
      <c r="B42" s="625"/>
      <c r="C42" s="203"/>
      <c r="D42" s="206">
        <f>SUM(D11,D13,D15,D17,D19,D21,D23,D25,D27,D29,D31,D33,D35,D37,D39)</f>
        <v>71006.297036005562</v>
      </c>
      <c r="E42" s="206">
        <f>SUM(E11,E13,E15,E17,E19,E21,E23,E25,E27,E29,E31,E33,E35,E37,E39)</f>
        <v>105346.81383682035</v>
      </c>
      <c r="F42" s="206">
        <f>SUM(F11,F13,F15,F17,F19,F21,F23,F25,F27,F29,F31,F33,F35,F37,F39)</f>
        <v>125930.72804001234</v>
      </c>
      <c r="G42" s="206">
        <f>SUM(G11,G13,G15,G17,G19,G21,G23,G25,G27,G29,G31,G33,G35,G37,G39)</f>
        <v>111887.8850886686</v>
      </c>
      <c r="I42" s="206"/>
    </row>
    <row r="43" spans="1:9" s="13" customFormat="1">
      <c r="A43" s="625" t="s">
        <v>284</v>
      </c>
      <c r="B43" s="625"/>
      <c r="C43" s="207">
        <f>SUM(C11,C13,C15,C17,C19,C21,C23,C25,C27,C29,C31,C33,C35,C37,C39)</f>
        <v>414171.72400150693</v>
      </c>
      <c r="D43" s="204">
        <f>D41</f>
        <v>0.17144168208775937</v>
      </c>
      <c r="E43" s="205">
        <f>E44/I43</f>
        <v>0.42579708042112563</v>
      </c>
      <c r="F43" s="205">
        <f>F44/I43</f>
        <v>0.72985146352419372</v>
      </c>
      <c r="G43" s="205">
        <f>G44/I43</f>
        <v>0.99999999999999989</v>
      </c>
      <c r="I43" s="206">
        <f>'PLANILHA FINAL'!H94</f>
        <v>414171.72400150693</v>
      </c>
    </row>
    <row r="44" spans="1:9" s="13" customFormat="1">
      <c r="A44" s="625" t="s">
        <v>285</v>
      </c>
      <c r="B44" s="625"/>
      <c r="C44" s="203"/>
      <c r="D44" s="206">
        <f>D42</f>
        <v>71006.297036005562</v>
      </c>
      <c r="E44" s="206">
        <f>D44+E42</f>
        <v>176353.1108728259</v>
      </c>
      <c r="F44" s="206">
        <f>E44+F42</f>
        <v>302283.83891283826</v>
      </c>
      <c r="G44" s="206">
        <f>F44+G42</f>
        <v>414171.72400150687</v>
      </c>
      <c r="I44" s="1">
        <f>I43-G44</f>
        <v>0</v>
      </c>
    </row>
    <row r="45" spans="1:9" s="13" customFormat="1" ht="7.5" customHeight="1">
      <c r="A45" s="208"/>
      <c r="B45" s="208"/>
      <c r="C45" s="208"/>
      <c r="D45" s="208"/>
      <c r="E45" s="208"/>
      <c r="F45" s="208"/>
      <c r="G45" s="208"/>
    </row>
    <row r="46" spans="1:9" s="13" customFormat="1">
      <c r="A46" s="625" t="s">
        <v>286</v>
      </c>
      <c r="B46" s="625"/>
      <c r="C46" s="208"/>
      <c r="D46" s="208"/>
      <c r="E46" s="208"/>
      <c r="F46" s="208"/>
      <c r="G46" s="208"/>
    </row>
    <row r="47" spans="1:9" s="13" customFormat="1">
      <c r="A47" s="625" t="s">
        <v>287</v>
      </c>
      <c r="B47" s="625"/>
      <c r="C47" s="208"/>
      <c r="D47" s="208"/>
      <c r="E47" s="208"/>
      <c r="F47" s="208"/>
      <c r="G47" s="208"/>
    </row>
    <row r="48" spans="1:9" s="13" customFormat="1">
      <c r="A48" s="625" t="s">
        <v>288</v>
      </c>
      <c r="B48" s="625"/>
      <c r="C48" s="208"/>
      <c r="D48" s="208"/>
      <c r="E48" s="208"/>
      <c r="F48" s="208"/>
      <c r="G48" s="208"/>
    </row>
    <row r="49" spans="1:7" s="13" customFormat="1">
      <c r="A49" s="620" t="s">
        <v>289</v>
      </c>
      <c r="B49" s="620"/>
      <c r="C49" s="208"/>
      <c r="D49" s="208"/>
      <c r="E49" s="208"/>
      <c r="F49" s="208"/>
      <c r="G49" s="208"/>
    </row>
    <row r="50" spans="1:7" s="13" customFormat="1">
      <c r="A50" s="210"/>
      <c r="B50" s="210"/>
      <c r="C50" s="210"/>
      <c r="D50" s="210"/>
      <c r="E50" s="210"/>
      <c r="F50" s="210"/>
      <c r="G50" s="210"/>
    </row>
    <row r="51" spans="1:7">
      <c r="A51" s="634" t="s">
        <v>157</v>
      </c>
      <c r="B51" s="634"/>
      <c r="C51" s="634"/>
      <c r="D51" s="634"/>
      <c r="E51" s="634"/>
      <c r="F51" s="634"/>
      <c r="G51" s="634"/>
    </row>
    <row r="52" spans="1:7">
      <c r="A52" s="633" t="s">
        <v>274</v>
      </c>
      <c r="B52" s="633"/>
      <c r="C52" s="633"/>
      <c r="D52" s="633"/>
      <c r="E52" s="633"/>
      <c r="F52" s="633"/>
      <c r="G52" s="633"/>
    </row>
    <row r="53" spans="1:7">
      <c r="A53" s="633" t="s">
        <v>151</v>
      </c>
      <c r="B53" s="633"/>
      <c r="C53" s="633"/>
      <c r="D53" s="633"/>
      <c r="E53" s="633"/>
      <c r="F53" s="633"/>
      <c r="G53" s="633"/>
    </row>
    <row r="54" spans="1:7">
      <c r="A54" s="633" t="s">
        <v>275</v>
      </c>
      <c r="B54" s="633"/>
      <c r="C54" s="633"/>
      <c r="D54" s="633"/>
      <c r="E54" s="633"/>
      <c r="F54" s="633"/>
      <c r="G54" s="633"/>
    </row>
  </sheetData>
  <mergeCells count="51">
    <mergeCell ref="B12:B13"/>
    <mergeCell ref="B14:B15"/>
    <mergeCell ref="A14:A15"/>
    <mergeCell ref="A53:G53"/>
    <mergeCell ref="A54:G54"/>
    <mergeCell ref="A51:G51"/>
    <mergeCell ref="A52:G52"/>
    <mergeCell ref="A16:A17"/>
    <mergeCell ref="B16:B17"/>
    <mergeCell ref="A18:A19"/>
    <mergeCell ref="B18:B19"/>
    <mergeCell ref="A20:A21"/>
    <mergeCell ref="B20:B21"/>
    <mergeCell ref="B32:B33"/>
    <mergeCell ref="A22:A23"/>
    <mergeCell ref="B22:B23"/>
    <mergeCell ref="A24:A25"/>
    <mergeCell ref="B24:B25"/>
    <mergeCell ref="A26:A27"/>
    <mergeCell ref="F1:G1"/>
    <mergeCell ref="F2:G2"/>
    <mergeCell ref="F7:G7"/>
    <mergeCell ref="D3:E3"/>
    <mergeCell ref="F3:G3"/>
    <mergeCell ref="D4:E4"/>
    <mergeCell ref="F4:G4"/>
    <mergeCell ref="A5:G5"/>
    <mergeCell ref="B26:B27"/>
    <mergeCell ref="B6:G6"/>
    <mergeCell ref="A10:A11"/>
    <mergeCell ref="B10:B11"/>
    <mergeCell ref="A12:A13"/>
    <mergeCell ref="A28:A29"/>
    <mergeCell ref="B28:B29"/>
    <mergeCell ref="A30:A31"/>
    <mergeCell ref="B30:B31"/>
    <mergeCell ref="A32:A33"/>
    <mergeCell ref="A49:B49"/>
    <mergeCell ref="A34:A35"/>
    <mergeCell ref="B34:B35"/>
    <mergeCell ref="A36:A37"/>
    <mergeCell ref="B36:B37"/>
    <mergeCell ref="A38:A39"/>
    <mergeCell ref="B38:B39"/>
    <mergeCell ref="A46:B46"/>
    <mergeCell ref="A41:B41"/>
    <mergeCell ref="A42:B42"/>
    <mergeCell ref="A43:B43"/>
    <mergeCell ref="A44:B44"/>
    <mergeCell ref="A47:B47"/>
    <mergeCell ref="A48:B48"/>
  </mergeCells>
  <phoneticPr fontId="67" type="noConversion"/>
  <conditionalFormatting sqref="G24:G25 G12 F40:G40 G32:G33 G37 G39 F16 F44:G50">
    <cfRule type="cellIs" dxfId="20" priority="51" operator="between">
      <formula>0.01</formula>
      <formula>1</formula>
    </cfRule>
    <cfRule type="cellIs" priority="52" operator="between">
      <formula>0</formula>
      <formula>1</formula>
    </cfRule>
  </conditionalFormatting>
  <conditionalFormatting sqref="F27 F29 F35:F39 F33">
    <cfRule type="cellIs" dxfId="19" priority="49" operator="between">
      <formula>0.01</formula>
      <formula>1</formula>
    </cfRule>
    <cfRule type="cellIs" priority="50" operator="between">
      <formula>0</formula>
      <formula>1</formula>
    </cfRule>
  </conditionalFormatting>
  <conditionalFormatting sqref="F12">
    <cfRule type="cellIs" dxfId="18" priority="47" operator="between">
      <formula>0.01</formula>
      <formula>1</formula>
    </cfRule>
    <cfRule type="cellIs" priority="48" operator="between">
      <formula>0</formula>
      <formula>1</formula>
    </cfRule>
  </conditionalFormatting>
  <conditionalFormatting sqref="G22">
    <cfRule type="cellIs" dxfId="17" priority="43" operator="between">
      <formula>0.01</formula>
      <formula>1</formula>
    </cfRule>
    <cfRule type="cellIs" priority="44" operator="between">
      <formula>0</formula>
      <formula>1</formula>
    </cfRule>
  </conditionalFormatting>
  <conditionalFormatting sqref="I42">
    <cfRule type="cellIs" dxfId="16" priority="41" operator="between">
      <formula>0.01</formula>
      <formula>1</formula>
    </cfRule>
    <cfRule type="cellIs" priority="42" operator="between">
      <formula>0</formula>
      <formula>1</formula>
    </cfRule>
  </conditionalFormatting>
  <conditionalFormatting sqref="I43">
    <cfRule type="cellIs" dxfId="15" priority="13" operator="between">
      <formula>0.01</formula>
      <formula>1</formula>
    </cfRule>
    <cfRule type="cellIs" priority="14" operator="between">
      <formula>0</formula>
      <formula>1</formula>
    </cfRule>
  </conditionalFormatting>
  <conditionalFormatting sqref="G35">
    <cfRule type="cellIs" dxfId="14" priority="21" operator="between">
      <formula>0.01</formula>
      <formula>1</formula>
    </cfRule>
    <cfRule type="cellIs" priority="22" operator="between">
      <formula>0</formula>
      <formula>1</formula>
    </cfRule>
  </conditionalFormatting>
  <conditionalFormatting sqref="G27">
    <cfRule type="cellIs" dxfId="13" priority="1" operator="between">
      <formula>0.01</formula>
      <formula>1</formula>
    </cfRule>
    <cfRule type="cellIs" priority="2" operator="between">
      <formula>0</formula>
      <formula>1</formula>
    </cfRule>
  </conditionalFormatting>
  <conditionalFormatting sqref="G18">
    <cfRule type="cellIs" dxfId="12" priority="3" operator="between">
      <formula>0.01</formula>
      <formula>1</formula>
    </cfRule>
    <cfRule type="cellIs" priority="4" operator="between">
      <formula>0</formula>
      <formula>1</formula>
    </cfRule>
  </conditionalFormatting>
  <conditionalFormatting sqref="G16">
    <cfRule type="cellIs" dxfId="11" priority="7" operator="between">
      <formula>0.01</formula>
      <formula>1</formula>
    </cfRule>
    <cfRule type="cellIs" priority="8" operator="between">
      <formula>0</formula>
      <formula>1</formula>
    </cfRule>
  </conditionalFormatting>
  <pageMargins left="0.51181102362204722" right="0.51181102362204722" top="0.78740157480314965" bottom="0.78740157480314965" header="0.31496062992125984" footer="0.31496062992125984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46"/>
  <sheetViews>
    <sheetView view="pageBreakPreview" topLeftCell="A16" zoomScale="85" zoomScaleNormal="55" zoomScaleSheetLayoutView="85" workbookViewId="0">
      <selection activeCell="N30" sqref="N30"/>
    </sheetView>
  </sheetViews>
  <sheetFormatPr defaultRowHeight="15"/>
  <cols>
    <col min="7" max="7" width="5.5703125" customWidth="1"/>
    <col min="10" max="10" width="4.7109375" customWidth="1"/>
    <col min="12" max="12" width="0" hidden="1" customWidth="1"/>
    <col min="13" max="13" width="22.7109375" hidden="1" customWidth="1"/>
    <col min="14" max="14" width="14.7109375" customWidth="1"/>
    <col min="15" max="15" width="15.85546875" bestFit="1" customWidth="1"/>
    <col min="16" max="16" width="12.140625" bestFit="1" customWidth="1"/>
    <col min="17" max="17" width="14" customWidth="1"/>
    <col min="18" max="18" width="14.28515625" bestFit="1" customWidth="1"/>
    <col min="19" max="19" width="16" bestFit="1" customWidth="1"/>
    <col min="20" max="20" width="9.85546875" customWidth="1"/>
    <col min="24" max="24" width="15.42578125" customWidth="1"/>
    <col min="25" max="25" width="11.28515625" customWidth="1"/>
    <col min="26" max="26" width="12.140625" bestFit="1" customWidth="1"/>
    <col min="27" max="27" width="13.140625" customWidth="1"/>
    <col min="28" max="28" width="5.85546875" customWidth="1"/>
  </cols>
  <sheetData>
    <row r="1" spans="1:26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2"/>
      <c r="Z1" s="92"/>
    </row>
    <row r="2" spans="1:26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3" t="s">
        <v>111</v>
      </c>
    </row>
    <row r="3" spans="1:26">
      <c r="A3" s="91"/>
      <c r="B3" s="91"/>
      <c r="C3" s="91"/>
      <c r="D3" s="91"/>
      <c r="E3" s="91"/>
      <c r="F3" s="91"/>
      <c r="G3" s="91"/>
      <c r="H3" s="91"/>
      <c r="I3" s="91"/>
      <c r="J3" s="94" t="s">
        <v>112</v>
      </c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5" t="s">
        <v>113</v>
      </c>
    </row>
    <row r="4" spans="1:26" ht="15.75">
      <c r="A4" s="91"/>
      <c r="B4" s="91"/>
      <c r="C4" s="91"/>
      <c r="D4" s="91"/>
      <c r="E4" s="91"/>
      <c r="F4" s="91"/>
      <c r="G4" s="91"/>
      <c r="H4" s="91"/>
      <c r="I4" s="91"/>
      <c r="J4" s="91"/>
      <c r="K4" s="96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>
      <c r="A5" s="98" t="s">
        <v>292</v>
      </c>
      <c r="B5" s="99"/>
      <c r="C5" s="99"/>
      <c r="D5" s="99"/>
      <c r="E5" s="99"/>
      <c r="F5" s="99"/>
      <c r="G5" s="100" t="s">
        <v>114</v>
      </c>
      <c r="H5" s="101"/>
      <c r="I5" s="101"/>
      <c r="J5" s="99"/>
      <c r="K5" s="99"/>
      <c r="L5" s="101"/>
      <c r="M5" s="101"/>
      <c r="N5" s="98" t="s">
        <v>115</v>
      </c>
      <c r="O5" s="102"/>
      <c r="P5" s="102"/>
      <c r="Q5" s="102"/>
      <c r="R5" s="99"/>
      <c r="S5" s="101"/>
      <c r="T5" s="98" t="s">
        <v>116</v>
      </c>
      <c r="U5" s="99"/>
      <c r="V5" s="51"/>
      <c r="W5" s="51"/>
      <c r="X5" s="51"/>
      <c r="Y5" s="100" t="s">
        <v>117</v>
      </c>
      <c r="Z5" s="103"/>
    </row>
    <row r="6" spans="1:26" ht="25.5" customHeight="1">
      <c r="A6" s="645" t="str">
        <f>ALTERAÇÃO!C13</f>
        <v>Nº 172/2019-CPL</v>
      </c>
      <c r="B6" s="646"/>
      <c r="C6" s="646"/>
      <c r="D6" s="646"/>
      <c r="E6" s="646"/>
      <c r="F6" s="647"/>
      <c r="G6" s="645" t="s">
        <v>118</v>
      </c>
      <c r="H6" s="646"/>
      <c r="I6" s="646"/>
      <c r="J6" s="646"/>
      <c r="K6" s="646"/>
      <c r="L6" s="104"/>
      <c r="M6" s="104"/>
      <c r="N6" s="645" t="s">
        <v>119</v>
      </c>
      <c r="O6" s="646"/>
      <c r="P6" s="646"/>
      <c r="Q6" s="646"/>
      <c r="R6" s="646"/>
      <c r="S6" s="105"/>
      <c r="T6" s="648" t="str">
        <f>ALTERAÇÃO!C12</f>
        <v>REFORMA FEIRA COBERTA DO CENTRO</v>
      </c>
      <c r="U6" s="649"/>
      <c r="V6" s="649"/>
      <c r="W6" s="649"/>
      <c r="X6" s="650"/>
      <c r="Y6" s="664"/>
      <c r="Z6" s="665"/>
    </row>
    <row r="7" spans="1:26">
      <c r="A7" s="91"/>
      <c r="B7" s="91"/>
      <c r="C7" s="91"/>
      <c r="D7" s="91"/>
      <c r="E7" s="91"/>
      <c r="F7" s="91"/>
      <c r="G7" s="91"/>
      <c r="H7" s="91"/>
      <c r="I7" s="91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 spans="1:26">
      <c r="A8" s="107" t="s">
        <v>120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106"/>
      <c r="M8" s="106"/>
      <c r="N8" s="100" t="s">
        <v>121</v>
      </c>
      <c r="O8" s="91"/>
      <c r="P8" s="91"/>
      <c r="Q8" s="91"/>
      <c r="R8" s="91"/>
      <c r="S8" s="99"/>
      <c r="T8" s="99"/>
      <c r="U8" s="91"/>
      <c r="V8" s="91"/>
      <c r="W8" s="91"/>
      <c r="X8" s="91"/>
      <c r="Y8" s="92"/>
      <c r="Z8" s="103"/>
    </row>
    <row r="9" spans="1:26">
      <c r="A9" s="108"/>
      <c r="B9" s="109"/>
      <c r="C9" s="110" t="s">
        <v>122</v>
      </c>
      <c r="D9" s="111"/>
      <c r="E9" s="91"/>
      <c r="F9" s="91"/>
      <c r="G9" s="91"/>
      <c r="H9" s="91"/>
      <c r="I9" s="109"/>
      <c r="J9" s="101" t="s">
        <v>123</v>
      </c>
      <c r="K9" s="101"/>
      <c r="L9" s="58"/>
      <c r="M9" s="58"/>
      <c r="N9" s="666"/>
      <c r="O9" s="667"/>
      <c r="P9" s="667"/>
      <c r="Q9" s="667"/>
      <c r="R9" s="667"/>
      <c r="S9" s="667"/>
      <c r="T9" s="667"/>
      <c r="U9" s="667"/>
      <c r="V9" s="667"/>
      <c r="W9" s="667"/>
      <c r="X9" s="667"/>
      <c r="Y9" s="667"/>
      <c r="Z9" s="668"/>
    </row>
    <row r="10" spans="1:26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4"/>
      <c r="M10" s="114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5"/>
    </row>
    <row r="11" spans="1:26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01" t="s">
        <v>124</v>
      </c>
      <c r="M11" s="116" t="s">
        <v>125</v>
      </c>
      <c r="N11" s="101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7"/>
      <c r="Z11" s="117"/>
    </row>
    <row r="12" spans="1:26">
      <c r="A12" s="652" t="s">
        <v>127</v>
      </c>
      <c r="B12" s="653"/>
      <c r="C12" s="653"/>
      <c r="D12" s="653"/>
      <c r="E12" s="653"/>
      <c r="F12" s="653"/>
      <c r="G12" s="653"/>
      <c r="H12" s="653"/>
      <c r="I12" s="653"/>
      <c r="J12" s="653"/>
      <c r="K12" s="654"/>
      <c r="L12" s="119" t="s">
        <v>126</v>
      </c>
      <c r="M12" s="118"/>
      <c r="N12" s="661"/>
      <c r="O12" s="661"/>
      <c r="P12" s="661"/>
      <c r="Q12" s="661"/>
      <c r="R12" s="661"/>
      <c r="S12" s="661"/>
      <c r="T12" s="661"/>
      <c r="U12" s="661"/>
      <c r="V12" s="661"/>
      <c r="W12" s="118"/>
      <c r="X12" s="120"/>
      <c r="Y12" s="117"/>
      <c r="Z12" s="117"/>
    </row>
    <row r="13" spans="1:26">
      <c r="A13" s="655"/>
      <c r="B13" s="656"/>
      <c r="C13" s="656"/>
      <c r="D13" s="656"/>
      <c r="E13" s="656"/>
      <c r="F13" s="656"/>
      <c r="G13" s="656"/>
      <c r="H13" s="656"/>
      <c r="I13" s="656"/>
      <c r="J13" s="656"/>
      <c r="K13" s="657"/>
      <c r="L13" s="211"/>
      <c r="M13" s="121"/>
      <c r="N13" s="662" t="str">
        <f>IF(B9&lt;&gt;0,"Financiamento","Repasse")</f>
        <v>Repasse</v>
      </c>
      <c r="O13" s="662"/>
      <c r="P13" s="662"/>
      <c r="Q13" s="662"/>
      <c r="R13" s="663" t="s">
        <v>128</v>
      </c>
      <c r="S13" s="663"/>
      <c r="T13" s="663"/>
      <c r="U13" s="663"/>
      <c r="V13" s="663"/>
      <c r="W13" s="663"/>
      <c r="X13" s="122" t="s">
        <v>129</v>
      </c>
      <c r="Y13" s="123" t="s">
        <v>130</v>
      </c>
      <c r="Z13" s="123" t="s">
        <v>128</v>
      </c>
    </row>
    <row r="14" spans="1:26">
      <c r="A14" s="212" t="s">
        <v>131</v>
      </c>
      <c r="B14" s="658" t="s">
        <v>132</v>
      </c>
      <c r="C14" s="659"/>
      <c r="D14" s="659"/>
      <c r="E14" s="659"/>
      <c r="F14" s="659"/>
      <c r="G14" s="659"/>
      <c r="H14" s="659"/>
      <c r="I14" s="659"/>
      <c r="J14" s="660"/>
      <c r="K14" s="212" t="s">
        <v>294</v>
      </c>
      <c r="L14" s="124" t="s">
        <v>133</v>
      </c>
      <c r="M14" s="125" t="s">
        <v>134</v>
      </c>
      <c r="N14" s="213" t="s">
        <v>135</v>
      </c>
      <c r="O14" s="213" t="s">
        <v>136</v>
      </c>
      <c r="P14" s="213" t="s">
        <v>137</v>
      </c>
      <c r="Q14" s="213" t="s">
        <v>10</v>
      </c>
      <c r="R14" s="214" t="s">
        <v>138</v>
      </c>
      <c r="S14" s="214" t="s">
        <v>139</v>
      </c>
      <c r="T14" s="214" t="s">
        <v>140</v>
      </c>
      <c r="U14" s="214" t="s">
        <v>295</v>
      </c>
      <c r="V14" s="214" t="s">
        <v>140</v>
      </c>
      <c r="W14" s="214" t="s">
        <v>141</v>
      </c>
      <c r="X14" s="183" t="s">
        <v>142</v>
      </c>
      <c r="Y14" s="126" t="s">
        <v>143</v>
      </c>
      <c r="Z14" s="126" t="s">
        <v>144</v>
      </c>
    </row>
    <row r="15" spans="1:26">
      <c r="A15" s="127">
        <v>1</v>
      </c>
      <c r="B15" s="636" t="str">
        <f>ALTERAÇÃO!C19</f>
        <v>PRELIMINARES</v>
      </c>
      <c r="C15" s="637"/>
      <c r="D15" s="637"/>
      <c r="E15" s="637"/>
      <c r="F15" s="637"/>
      <c r="G15" s="637"/>
      <c r="H15" s="637"/>
      <c r="I15" s="637"/>
      <c r="J15" s="638"/>
      <c r="K15" s="128"/>
      <c r="L15" s="129"/>
      <c r="M15" s="130"/>
      <c r="N15" s="131">
        <f>Q15*X15</f>
        <v>5316.2786863417841</v>
      </c>
      <c r="O15" s="132"/>
      <c r="P15" s="132"/>
      <c r="Q15" s="133">
        <f t="shared" ref="Q15:Q30" si="0">(300389.77/X$30)</f>
        <v>0.7252783147477907</v>
      </c>
      <c r="R15" s="131">
        <f t="shared" ref="R15:R29" si="1">T15*X15</f>
        <v>2013.7056496582165</v>
      </c>
      <c r="S15" s="134"/>
      <c r="T15" s="135">
        <f>1-Q15-V15</f>
        <v>0.2747216852522093</v>
      </c>
      <c r="U15" s="131">
        <f t="shared" ref="U15:U29" si="2">X15*V15</f>
        <v>0</v>
      </c>
      <c r="V15" s="133"/>
      <c r="W15" s="136">
        <f>IF(X15&lt;&gt;0,1-Q15,0)</f>
        <v>0.2747216852522093</v>
      </c>
      <c r="X15" s="137">
        <f>'PLANILHA FINAL'!H19</f>
        <v>7329.9843360000004</v>
      </c>
      <c r="Y15" s="138" t="s">
        <v>145</v>
      </c>
      <c r="Z15" s="139" t="s">
        <v>146</v>
      </c>
    </row>
    <row r="16" spans="1:26">
      <c r="A16" s="127">
        <v>2</v>
      </c>
      <c r="B16" s="636" t="str">
        <f>ALTERAÇÃO!C22</f>
        <v>MOBILIZAÇÃO/DESMOBILIZAÇÃO</v>
      </c>
      <c r="C16" s="637"/>
      <c r="D16" s="637"/>
      <c r="E16" s="637"/>
      <c r="F16" s="637"/>
      <c r="G16" s="637"/>
      <c r="H16" s="637"/>
      <c r="I16" s="637"/>
      <c r="J16" s="638"/>
      <c r="K16" s="128"/>
      <c r="L16" s="129"/>
      <c r="M16" s="130"/>
      <c r="N16" s="131">
        <f t="shared" ref="N16:N29" si="3">Q16*X16</f>
        <v>384.07923148291172</v>
      </c>
      <c r="O16" s="132"/>
      <c r="P16" s="132"/>
      <c r="Q16" s="133">
        <f t="shared" si="0"/>
        <v>0.7252783147477907</v>
      </c>
      <c r="R16" s="131">
        <f t="shared" si="1"/>
        <v>145.48193651708834</v>
      </c>
      <c r="S16" s="134"/>
      <c r="T16" s="135">
        <f t="shared" ref="T16:T29" si="4">1-Q16-V16</f>
        <v>0.2747216852522093</v>
      </c>
      <c r="U16" s="131">
        <f t="shared" si="2"/>
        <v>0</v>
      </c>
      <c r="V16" s="133"/>
      <c r="W16" s="136">
        <f t="shared" ref="W16:W29" si="5">IF(X16&lt;&gt;0,1-Q16,0)</f>
        <v>0.2747216852522093</v>
      </c>
      <c r="X16" s="137">
        <f>'PLANILHA FINAL'!H22</f>
        <v>529.56116800000007</v>
      </c>
      <c r="Y16" s="138" t="s">
        <v>145</v>
      </c>
      <c r="Z16" s="139" t="s">
        <v>146</v>
      </c>
    </row>
    <row r="17" spans="1:27">
      <c r="A17" s="127">
        <v>3</v>
      </c>
      <c r="B17" s="636" t="str">
        <f>ALTERAÇÃO!C24</f>
        <v>ADMINISTRAÇÃO LOCAL</v>
      </c>
      <c r="C17" s="637"/>
      <c r="D17" s="637"/>
      <c r="E17" s="637"/>
      <c r="F17" s="637"/>
      <c r="G17" s="637"/>
      <c r="H17" s="637"/>
      <c r="I17" s="637"/>
      <c r="J17" s="638"/>
      <c r="K17" s="128"/>
      <c r="L17" s="129"/>
      <c r="M17" s="130"/>
      <c r="N17" s="131">
        <f t="shared" si="3"/>
        <v>16022.819405132186</v>
      </c>
      <c r="O17" s="132"/>
      <c r="P17" s="132"/>
      <c r="Q17" s="133">
        <f t="shared" si="0"/>
        <v>0.7252783147477907</v>
      </c>
      <c r="R17" s="131">
        <f t="shared" si="1"/>
        <v>6069.1404388678147</v>
      </c>
      <c r="S17" s="134"/>
      <c r="T17" s="135">
        <f t="shared" si="4"/>
        <v>0.2747216852522093</v>
      </c>
      <c r="U17" s="131">
        <f t="shared" si="2"/>
        <v>0</v>
      </c>
      <c r="V17" s="133"/>
      <c r="W17" s="136">
        <f t="shared" si="5"/>
        <v>0.2747216852522093</v>
      </c>
      <c r="X17" s="137">
        <f>'PLANILHA FINAL'!H24</f>
        <v>22091.959844000001</v>
      </c>
      <c r="Y17" s="138" t="s">
        <v>145</v>
      </c>
      <c r="Z17" s="139" t="s">
        <v>146</v>
      </c>
    </row>
    <row r="18" spans="1:27">
      <c r="A18" s="127">
        <v>4</v>
      </c>
      <c r="B18" s="636" t="str">
        <f>ALTERAÇÃO!C26</f>
        <v>REMOÇÕES/DEMOLIÇÕES</v>
      </c>
      <c r="C18" s="637"/>
      <c r="D18" s="637"/>
      <c r="E18" s="637"/>
      <c r="F18" s="637"/>
      <c r="G18" s="637"/>
      <c r="H18" s="637"/>
      <c r="I18" s="637"/>
      <c r="J18" s="638"/>
      <c r="K18" s="128"/>
      <c r="L18" s="129"/>
      <c r="M18" s="130"/>
      <c r="N18" s="131">
        <f t="shared" si="3"/>
        <v>12331.60509703217</v>
      </c>
      <c r="O18" s="132"/>
      <c r="P18" s="132"/>
      <c r="Q18" s="133">
        <f t="shared" si="0"/>
        <v>0.7252783147477907</v>
      </c>
      <c r="R18" s="131">
        <f t="shared" si="1"/>
        <v>4670.978388895408</v>
      </c>
      <c r="S18" s="134"/>
      <c r="T18" s="135">
        <f t="shared" si="4"/>
        <v>0.2747216852522093</v>
      </c>
      <c r="U18" s="131">
        <f t="shared" si="2"/>
        <v>0</v>
      </c>
      <c r="V18" s="133"/>
      <c r="W18" s="136">
        <f t="shared" si="5"/>
        <v>0.2747216852522093</v>
      </c>
      <c r="X18" s="137">
        <f>'PLANILHA FINAL'!H26</f>
        <v>17002.583485927578</v>
      </c>
      <c r="Y18" s="138" t="s">
        <v>145</v>
      </c>
      <c r="Z18" s="139" t="s">
        <v>146</v>
      </c>
    </row>
    <row r="19" spans="1:27">
      <c r="A19" s="127">
        <v>5</v>
      </c>
      <c r="B19" s="636" t="str">
        <f>ALTERAÇÃO!C35</f>
        <v>MATERIAIS/BANHEIROS</v>
      </c>
      <c r="C19" s="637"/>
      <c r="D19" s="637"/>
      <c r="E19" s="637"/>
      <c r="F19" s="637"/>
      <c r="G19" s="637"/>
      <c r="H19" s="637"/>
      <c r="I19" s="637"/>
      <c r="J19" s="638"/>
      <c r="K19" s="128"/>
      <c r="L19" s="129"/>
      <c r="M19" s="130"/>
      <c r="N19" s="131">
        <f t="shared" si="3"/>
        <v>10367.521401553915</v>
      </c>
      <c r="O19" s="132"/>
      <c r="P19" s="132"/>
      <c r="Q19" s="133">
        <f t="shared" si="0"/>
        <v>0.7252783147477907</v>
      </c>
      <c r="R19" s="131">
        <f t="shared" si="1"/>
        <v>3927.0206945504356</v>
      </c>
      <c r="S19" s="134"/>
      <c r="T19" s="135">
        <f t="shared" si="4"/>
        <v>0.2747216852522093</v>
      </c>
      <c r="U19" s="131">
        <f t="shared" si="2"/>
        <v>0</v>
      </c>
      <c r="V19" s="133"/>
      <c r="W19" s="136">
        <f t="shared" si="5"/>
        <v>0.2747216852522093</v>
      </c>
      <c r="X19" s="137">
        <f>'PLANILHA FINAL'!H35</f>
        <v>14294.542096104351</v>
      </c>
      <c r="Y19" s="138" t="s">
        <v>145</v>
      </c>
      <c r="Z19" s="139" t="s">
        <v>146</v>
      </c>
    </row>
    <row r="20" spans="1:27">
      <c r="A20" s="127">
        <v>6</v>
      </c>
      <c r="B20" s="636" t="str">
        <f>ALTERAÇÃO!C53</f>
        <v>INSTALAÇÕES HIDROSANITÁRIAS</v>
      </c>
      <c r="C20" s="637"/>
      <c r="D20" s="637"/>
      <c r="E20" s="637"/>
      <c r="F20" s="637"/>
      <c r="G20" s="637"/>
      <c r="H20" s="637"/>
      <c r="I20" s="637"/>
      <c r="J20" s="638"/>
      <c r="K20" s="128"/>
      <c r="L20" s="129"/>
      <c r="M20" s="130"/>
      <c r="N20" s="131">
        <f t="shared" si="3"/>
        <v>7004.948453767518</v>
      </c>
      <c r="O20" s="132"/>
      <c r="P20" s="132"/>
      <c r="Q20" s="133">
        <f t="shared" si="0"/>
        <v>0.7252783147477907</v>
      </c>
      <c r="R20" s="131">
        <f t="shared" si="1"/>
        <v>2653.3417657648674</v>
      </c>
      <c r="S20" s="134"/>
      <c r="T20" s="135">
        <f t="shared" si="4"/>
        <v>0.2747216852522093</v>
      </c>
      <c r="U20" s="131">
        <f t="shared" si="2"/>
        <v>0</v>
      </c>
      <c r="V20" s="133"/>
      <c r="W20" s="136">
        <f t="shared" si="5"/>
        <v>0.2747216852522093</v>
      </c>
      <c r="X20" s="137">
        <f>'PLANILHA FINAL'!H53</f>
        <v>9658.2902195323859</v>
      </c>
      <c r="Y20" s="138" t="s">
        <v>145</v>
      </c>
      <c r="Z20" s="139" t="s">
        <v>146</v>
      </c>
    </row>
    <row r="21" spans="1:27" s="13" customFormat="1">
      <c r="A21" s="127">
        <v>7</v>
      </c>
      <c r="B21" s="636" t="str">
        <f>ALTERAÇÃO!C60</f>
        <v>ALVENARIA</v>
      </c>
      <c r="C21" s="637"/>
      <c r="D21" s="637"/>
      <c r="E21" s="637"/>
      <c r="F21" s="637"/>
      <c r="G21" s="637"/>
      <c r="H21" s="637"/>
      <c r="I21" s="637"/>
      <c r="J21" s="638"/>
      <c r="K21" s="128"/>
      <c r="L21" s="129"/>
      <c r="M21" s="130"/>
      <c r="N21" s="131">
        <f t="shared" si="3"/>
        <v>9069.3554674024381</v>
      </c>
      <c r="O21" s="132"/>
      <c r="P21" s="132"/>
      <c r="Q21" s="133">
        <f t="shared" si="0"/>
        <v>0.7252783147477907</v>
      </c>
      <c r="R21" s="131">
        <f t="shared" si="1"/>
        <v>3435.3000324055611</v>
      </c>
      <c r="S21" s="134"/>
      <c r="T21" s="135">
        <f t="shared" si="4"/>
        <v>0.2747216852522093</v>
      </c>
      <c r="U21" s="131">
        <f t="shared" si="2"/>
        <v>0</v>
      </c>
      <c r="V21" s="133"/>
      <c r="W21" s="136">
        <f t="shared" si="5"/>
        <v>0.2747216852522093</v>
      </c>
      <c r="X21" s="137">
        <f>'PLANILHA FINAL'!H60</f>
        <v>12504.655499807999</v>
      </c>
      <c r="Y21" s="138" t="s">
        <v>145</v>
      </c>
      <c r="Z21" s="139" t="s">
        <v>146</v>
      </c>
    </row>
    <row r="22" spans="1:27" s="13" customFormat="1">
      <c r="A22" s="127">
        <v>8</v>
      </c>
      <c r="B22" s="636" t="str">
        <f>ALTERAÇÃO!C64</f>
        <v>REVESTIMENTOS</v>
      </c>
      <c r="C22" s="637"/>
      <c r="D22" s="637"/>
      <c r="E22" s="637"/>
      <c r="F22" s="637"/>
      <c r="G22" s="637"/>
      <c r="H22" s="637"/>
      <c r="I22" s="637"/>
      <c r="J22" s="638"/>
      <c r="K22" s="128"/>
      <c r="L22" s="129"/>
      <c r="M22" s="130"/>
      <c r="N22" s="131">
        <f t="shared" si="3"/>
        <v>18307.381555985234</v>
      </c>
      <c r="O22" s="132"/>
      <c r="P22" s="132"/>
      <c r="Q22" s="133">
        <f t="shared" si="0"/>
        <v>0.7252783147477907</v>
      </c>
      <c r="R22" s="131">
        <f t="shared" si="1"/>
        <v>6934.4893006547691</v>
      </c>
      <c r="S22" s="134"/>
      <c r="T22" s="135">
        <f t="shared" si="4"/>
        <v>0.2747216852522093</v>
      </c>
      <c r="U22" s="131">
        <f t="shared" si="2"/>
        <v>0</v>
      </c>
      <c r="V22" s="133"/>
      <c r="W22" s="136">
        <f t="shared" si="5"/>
        <v>0.2747216852522093</v>
      </c>
      <c r="X22" s="137">
        <f>'PLANILHA FINAL'!H64</f>
        <v>25241.870856640002</v>
      </c>
      <c r="Y22" s="138" t="s">
        <v>145</v>
      </c>
      <c r="Z22" s="139" t="s">
        <v>146</v>
      </c>
    </row>
    <row r="23" spans="1:27" s="13" customFormat="1">
      <c r="A23" s="127">
        <v>9</v>
      </c>
      <c r="B23" s="636" t="str">
        <f>ALTERAÇÃO!C67</f>
        <v>PINTURA</v>
      </c>
      <c r="C23" s="637"/>
      <c r="D23" s="637"/>
      <c r="E23" s="637"/>
      <c r="F23" s="637"/>
      <c r="G23" s="637"/>
      <c r="H23" s="637"/>
      <c r="I23" s="637"/>
      <c r="J23" s="638"/>
      <c r="K23" s="128"/>
      <c r="L23" s="129"/>
      <c r="M23" s="130"/>
      <c r="N23" s="131">
        <f t="shared" si="3"/>
        <v>26746.549024667565</v>
      </c>
      <c r="O23" s="132"/>
      <c r="P23" s="132"/>
      <c r="Q23" s="133">
        <f t="shared" si="0"/>
        <v>0.7252783147477907</v>
      </c>
      <c r="R23" s="131">
        <f t="shared" si="1"/>
        <v>10131.086058036442</v>
      </c>
      <c r="S23" s="134"/>
      <c r="T23" s="135">
        <f t="shared" si="4"/>
        <v>0.2747216852522093</v>
      </c>
      <c r="U23" s="131">
        <f t="shared" si="2"/>
        <v>0</v>
      </c>
      <c r="V23" s="133"/>
      <c r="W23" s="136">
        <f t="shared" si="5"/>
        <v>0.2747216852522093</v>
      </c>
      <c r="X23" s="137">
        <f>'PLANILHA FINAL'!H67</f>
        <v>36877.635082704008</v>
      </c>
      <c r="Y23" s="138" t="s">
        <v>145</v>
      </c>
      <c r="Z23" s="139" t="s">
        <v>146</v>
      </c>
    </row>
    <row r="24" spans="1:27" s="13" customFormat="1">
      <c r="A24" s="127">
        <v>10</v>
      </c>
      <c r="B24" s="636" t="str">
        <f>ALTERAÇÃO!C71</f>
        <v>FORRAÇÃO</v>
      </c>
      <c r="C24" s="637"/>
      <c r="D24" s="637"/>
      <c r="E24" s="637"/>
      <c r="F24" s="637"/>
      <c r="G24" s="637"/>
      <c r="H24" s="637"/>
      <c r="I24" s="637"/>
      <c r="J24" s="638"/>
      <c r="K24" s="128"/>
      <c r="L24" s="129"/>
      <c r="M24" s="130"/>
      <c r="N24" s="131">
        <f t="shared" si="3"/>
        <v>1555.7920918704269</v>
      </c>
      <c r="O24" s="132"/>
      <c r="P24" s="132"/>
      <c r="Q24" s="133">
        <f t="shared" si="0"/>
        <v>0.7252783147477907</v>
      </c>
      <c r="R24" s="131">
        <f t="shared" si="1"/>
        <v>589.30456996957344</v>
      </c>
      <c r="S24" s="134"/>
      <c r="T24" s="135">
        <f t="shared" si="4"/>
        <v>0.2747216852522093</v>
      </c>
      <c r="U24" s="131">
        <f t="shared" si="2"/>
        <v>0</v>
      </c>
      <c r="V24" s="133"/>
      <c r="W24" s="136">
        <f t="shared" si="5"/>
        <v>0.2747216852522093</v>
      </c>
      <c r="X24" s="137">
        <f>'PLANILHA FINAL'!H71</f>
        <v>2145.0966618400003</v>
      </c>
      <c r="Y24" s="138" t="s">
        <v>145</v>
      </c>
      <c r="Z24" s="139" t="s">
        <v>146</v>
      </c>
    </row>
    <row r="25" spans="1:27" s="13" customFormat="1">
      <c r="A25" s="127">
        <v>11</v>
      </c>
      <c r="B25" s="636" t="str">
        <f>ALTERAÇÃO!C73</f>
        <v>CALÇADAS/PISOS</v>
      </c>
      <c r="C25" s="637"/>
      <c r="D25" s="637"/>
      <c r="E25" s="637"/>
      <c r="F25" s="637"/>
      <c r="G25" s="637"/>
      <c r="H25" s="637"/>
      <c r="I25" s="637"/>
      <c r="J25" s="638"/>
      <c r="K25" s="128"/>
      <c r="L25" s="129"/>
      <c r="M25" s="130"/>
      <c r="N25" s="131">
        <f t="shared" si="3"/>
        <v>117846.63833846097</v>
      </c>
      <c r="O25" s="132"/>
      <c r="P25" s="132"/>
      <c r="Q25" s="133">
        <f t="shared" si="0"/>
        <v>0.7252783147477907</v>
      </c>
      <c r="R25" s="131">
        <f t="shared" si="1"/>
        <v>44638.074001850939</v>
      </c>
      <c r="S25" s="134"/>
      <c r="T25" s="135">
        <f t="shared" si="4"/>
        <v>0.2747216852522093</v>
      </c>
      <c r="U25" s="131">
        <f t="shared" si="2"/>
        <v>0</v>
      </c>
      <c r="V25" s="133"/>
      <c r="W25" s="136">
        <f t="shared" si="5"/>
        <v>0.2747216852522093</v>
      </c>
      <c r="X25" s="137">
        <f>'PLANILHA FINAL'!H73</f>
        <v>162484.7123403119</v>
      </c>
      <c r="Y25" s="138" t="s">
        <v>145</v>
      </c>
      <c r="Z25" s="139" t="s">
        <v>146</v>
      </c>
    </row>
    <row r="26" spans="1:27" s="13" customFormat="1">
      <c r="A26" s="127">
        <v>12</v>
      </c>
      <c r="B26" s="636" t="str">
        <f>ALTERAÇÃO!C79</f>
        <v>COBERTURA</v>
      </c>
      <c r="C26" s="637"/>
      <c r="D26" s="637"/>
      <c r="E26" s="637"/>
      <c r="F26" s="637"/>
      <c r="G26" s="637"/>
      <c r="H26" s="637"/>
      <c r="I26" s="637"/>
      <c r="J26" s="638"/>
      <c r="K26" s="128"/>
      <c r="L26" s="129"/>
      <c r="M26" s="130"/>
      <c r="N26" s="131">
        <f t="shared" si="3"/>
        <v>41127.583456730921</v>
      </c>
      <c r="O26" s="132"/>
      <c r="P26" s="132"/>
      <c r="Q26" s="133">
        <f t="shared" si="0"/>
        <v>0.7252783147477907</v>
      </c>
      <c r="R26" s="131">
        <f t="shared" si="1"/>
        <v>15578.349452669087</v>
      </c>
      <c r="S26" s="134"/>
      <c r="T26" s="135">
        <f t="shared" si="4"/>
        <v>0.2747216852522093</v>
      </c>
      <c r="U26" s="131">
        <f t="shared" si="2"/>
        <v>0</v>
      </c>
      <c r="V26" s="133"/>
      <c r="W26" s="136">
        <f t="shared" si="5"/>
        <v>0.2747216852522093</v>
      </c>
      <c r="X26" s="137">
        <f>'PLANILHA FINAL'!H79</f>
        <v>56705.932909400006</v>
      </c>
      <c r="Y26" s="138" t="s">
        <v>145</v>
      </c>
      <c r="Z26" s="139" t="s">
        <v>146</v>
      </c>
    </row>
    <row r="27" spans="1:27" s="13" customFormat="1">
      <c r="A27" s="127">
        <v>13</v>
      </c>
      <c r="B27" s="636" t="str">
        <f>ALTERAÇÃO!C84</f>
        <v>SISTEMA PLUVIAL</v>
      </c>
      <c r="C27" s="637"/>
      <c r="D27" s="637"/>
      <c r="E27" s="637"/>
      <c r="F27" s="637"/>
      <c r="G27" s="637"/>
      <c r="H27" s="637"/>
      <c r="I27" s="637"/>
      <c r="J27" s="638"/>
      <c r="K27" s="128"/>
      <c r="L27" s="129"/>
      <c r="M27" s="130"/>
      <c r="N27" s="131">
        <f t="shared" si="3"/>
        <v>22946.679592502584</v>
      </c>
      <c r="O27" s="132"/>
      <c r="P27" s="132"/>
      <c r="Q27" s="133">
        <f t="shared" si="0"/>
        <v>0.7252783147477907</v>
      </c>
      <c r="R27" s="131">
        <f t="shared" si="1"/>
        <v>8691.7675055360414</v>
      </c>
      <c r="S27" s="134"/>
      <c r="T27" s="135">
        <f t="shared" si="4"/>
        <v>0.2747216852522093</v>
      </c>
      <c r="U27" s="131">
        <f t="shared" si="2"/>
        <v>0</v>
      </c>
      <c r="V27" s="133"/>
      <c r="W27" s="136">
        <f t="shared" si="5"/>
        <v>0.2747216852522093</v>
      </c>
      <c r="X27" s="137">
        <f>'PLANILHA FINAL'!H84</f>
        <v>31638.447098038625</v>
      </c>
      <c r="Y27" s="138" t="s">
        <v>145</v>
      </c>
      <c r="Z27" s="139" t="s">
        <v>146</v>
      </c>
    </row>
    <row r="28" spans="1:27" s="13" customFormat="1">
      <c r="A28" s="127">
        <v>14</v>
      </c>
      <c r="B28" s="636" t="str">
        <f>ALTERAÇÃO!C89</f>
        <v>PORTÕES</v>
      </c>
      <c r="C28" s="637"/>
      <c r="D28" s="637"/>
      <c r="E28" s="637"/>
      <c r="F28" s="637"/>
      <c r="G28" s="637"/>
      <c r="H28" s="637"/>
      <c r="I28" s="637"/>
      <c r="J28" s="638"/>
      <c r="K28" s="128"/>
      <c r="L28" s="129"/>
      <c r="M28" s="130"/>
      <c r="N28" s="131">
        <f t="shared" si="3"/>
        <v>10932.684416241116</v>
      </c>
      <c r="O28" s="132"/>
      <c r="P28" s="132"/>
      <c r="Q28" s="133">
        <f t="shared" si="0"/>
        <v>0.7252783147477907</v>
      </c>
      <c r="R28" s="131">
        <f t="shared" si="1"/>
        <v>4141.0937375188832</v>
      </c>
      <c r="S28" s="134"/>
      <c r="T28" s="135">
        <f t="shared" si="4"/>
        <v>0.2747216852522093</v>
      </c>
      <c r="U28" s="131">
        <f t="shared" si="2"/>
        <v>0</v>
      </c>
      <c r="V28" s="133"/>
      <c r="W28" s="136">
        <f t="shared" si="5"/>
        <v>0.2747216852522093</v>
      </c>
      <c r="X28" s="137">
        <f>'PLANILHA FINAL'!H89</f>
        <v>15073.778153759999</v>
      </c>
      <c r="Y28" s="138" t="s">
        <v>145</v>
      </c>
      <c r="Z28" s="139" t="s">
        <v>146</v>
      </c>
    </row>
    <row r="29" spans="1:27" s="13" customFormat="1">
      <c r="A29" s="127">
        <v>15</v>
      </c>
      <c r="B29" s="636" t="str">
        <f>ALTERAÇÃO!C91</f>
        <v>JARDIM</v>
      </c>
      <c r="C29" s="637"/>
      <c r="D29" s="637"/>
      <c r="E29" s="637"/>
      <c r="F29" s="637"/>
      <c r="G29" s="637"/>
      <c r="H29" s="637"/>
      <c r="I29" s="637"/>
      <c r="J29" s="638"/>
      <c r="K29" s="128"/>
      <c r="L29" s="129"/>
      <c r="M29" s="130"/>
      <c r="N29" s="131">
        <f t="shared" si="3"/>
        <v>429.85378082825497</v>
      </c>
      <c r="O29" s="132"/>
      <c r="P29" s="132"/>
      <c r="Q29" s="133">
        <f t="shared" si="0"/>
        <v>0.7252783147477907</v>
      </c>
      <c r="R29" s="131">
        <f t="shared" si="1"/>
        <v>162.82046861174507</v>
      </c>
      <c r="S29" s="134"/>
      <c r="T29" s="135">
        <f t="shared" si="4"/>
        <v>0.2747216852522093</v>
      </c>
      <c r="U29" s="131">
        <f t="shared" si="2"/>
        <v>0</v>
      </c>
      <c r="V29" s="133"/>
      <c r="W29" s="136">
        <f t="shared" si="5"/>
        <v>0.2747216852522093</v>
      </c>
      <c r="X29" s="137">
        <f>'PLANILHA FINAL'!H91</f>
        <v>592.67424944000004</v>
      </c>
      <c r="Y29" s="138" t="s">
        <v>145</v>
      </c>
      <c r="Z29" s="139" t="s">
        <v>146</v>
      </c>
    </row>
    <row r="30" spans="1:27">
      <c r="A30" s="140"/>
      <c r="B30" s="141"/>
      <c r="C30" s="141"/>
      <c r="D30" s="141"/>
      <c r="E30" s="141"/>
      <c r="F30" s="639"/>
      <c r="G30" s="640"/>
      <c r="H30" s="640"/>
      <c r="I30" s="640"/>
      <c r="J30" s="641"/>
      <c r="K30" s="142"/>
      <c r="L30" s="143"/>
      <c r="M30" s="144"/>
      <c r="N30" s="131">
        <f>SUM(N15:N29)</f>
        <v>300389.77</v>
      </c>
      <c r="O30" s="132">
        <f>SUM(O15:O29)</f>
        <v>0</v>
      </c>
      <c r="P30" s="132">
        <f>SUM(P15:P29)</f>
        <v>0</v>
      </c>
      <c r="Q30" s="133">
        <f t="shared" si="0"/>
        <v>0.7252783147477907</v>
      </c>
      <c r="R30" s="131">
        <f>SUM(R15:R29)</f>
        <v>113781.95400150688</v>
      </c>
      <c r="S30" s="131">
        <f>SUM(S15:S29)</f>
        <v>0</v>
      </c>
      <c r="T30" s="135">
        <f>ROUND(R30/$X30,4)</f>
        <v>0.2747</v>
      </c>
      <c r="U30" s="131">
        <f>SUM(U15:U29)</f>
        <v>0</v>
      </c>
      <c r="V30" s="135">
        <f>ROUND(U30/X30,4)</f>
        <v>0</v>
      </c>
      <c r="W30" s="135">
        <f>1-Q30</f>
        <v>0.2747216852522093</v>
      </c>
      <c r="X30" s="145">
        <f>SUM(X15:X29)</f>
        <v>414171.72400150693</v>
      </c>
      <c r="Y30" s="146"/>
      <c r="Z30" s="147"/>
      <c r="AA30" s="206"/>
    </row>
    <row r="31" spans="1:27">
      <c r="A31" s="148"/>
      <c r="B31" s="148"/>
      <c r="C31" s="148"/>
      <c r="D31" s="148"/>
      <c r="E31" s="148"/>
      <c r="F31" s="642"/>
      <c r="G31" s="642"/>
      <c r="H31" s="642"/>
      <c r="I31" s="642"/>
      <c r="J31" s="642"/>
      <c r="K31" s="149"/>
      <c r="L31" s="149"/>
      <c r="M31" s="149"/>
      <c r="N31" s="150"/>
      <c r="O31" s="148"/>
      <c r="P31" s="148"/>
      <c r="Q31" s="148"/>
      <c r="R31" s="151"/>
      <c r="S31" s="148"/>
      <c r="T31" s="148"/>
      <c r="U31" s="150"/>
      <c r="V31" s="150"/>
      <c r="W31" s="150"/>
      <c r="X31" s="151"/>
      <c r="Y31" s="152"/>
      <c r="Z31" s="153"/>
    </row>
    <row r="32" spans="1:27">
      <c r="A32" s="99"/>
      <c r="B32" s="99"/>
      <c r="C32" s="99"/>
      <c r="D32" s="99"/>
      <c r="E32" s="99"/>
      <c r="F32" s="154"/>
      <c r="G32" s="154"/>
      <c r="H32" s="154"/>
      <c r="I32" s="154"/>
      <c r="J32" s="154"/>
      <c r="K32" s="154"/>
      <c r="L32" s="154"/>
      <c r="M32" s="154"/>
      <c r="N32" s="155"/>
      <c r="O32" s="99"/>
      <c r="P32" s="99"/>
      <c r="Q32" s="99"/>
      <c r="R32" s="156"/>
      <c r="S32" s="99"/>
      <c r="T32" s="157"/>
      <c r="U32" s="157"/>
      <c r="V32" s="158"/>
      <c r="W32" s="158"/>
      <c r="X32" s="159" t="s">
        <v>147</v>
      </c>
      <c r="Y32" s="160"/>
      <c r="Z32" s="153"/>
    </row>
    <row r="33" spans="1:26">
      <c r="A33" s="99"/>
      <c r="B33" s="99"/>
      <c r="C33" s="99"/>
      <c r="D33" s="101"/>
      <c r="E33" s="99"/>
      <c r="F33" s="99"/>
      <c r="G33" s="101"/>
      <c r="H33" s="101"/>
      <c r="I33" s="101"/>
      <c r="J33" s="99"/>
      <c r="K33" s="99"/>
      <c r="L33" s="99"/>
      <c r="M33" s="99"/>
      <c r="N33" s="161"/>
      <c r="O33" s="162"/>
      <c r="P33" s="99"/>
      <c r="Q33" s="99"/>
      <c r="S33" s="99"/>
      <c r="T33" s="163"/>
      <c r="U33" s="163"/>
      <c r="V33" s="164"/>
      <c r="W33" s="164"/>
      <c r="X33" s="165" t="s">
        <v>148</v>
      </c>
      <c r="Y33" s="160"/>
      <c r="Z33" s="153"/>
    </row>
    <row r="34" spans="1:26">
      <c r="A34" s="166"/>
      <c r="B34" s="166"/>
      <c r="C34" s="166"/>
      <c r="D34" s="166"/>
      <c r="E34" s="166"/>
      <c r="F34" s="166"/>
      <c r="G34" s="166"/>
      <c r="H34" s="166"/>
      <c r="I34" s="166"/>
      <c r="J34" s="167"/>
      <c r="K34" s="91"/>
      <c r="L34" s="91"/>
      <c r="M34" s="91"/>
      <c r="N34" s="161"/>
      <c r="O34" s="91"/>
      <c r="P34" s="91"/>
      <c r="Q34" s="91"/>
      <c r="R34" s="99"/>
      <c r="S34" s="99"/>
      <c r="T34" s="168"/>
      <c r="U34" s="168"/>
      <c r="V34" s="169"/>
      <c r="W34" s="169"/>
      <c r="X34" s="169"/>
      <c r="Y34" s="170" t="s">
        <v>149</v>
      </c>
      <c r="Z34" s="171"/>
    </row>
    <row r="35" spans="1:26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91"/>
      <c r="L35" s="91"/>
      <c r="M35" s="91"/>
      <c r="N35" s="161"/>
      <c r="O35" s="91"/>
      <c r="P35" s="91"/>
      <c r="Q35" s="91"/>
      <c r="R35" s="91"/>
      <c r="S35" s="91"/>
      <c r="T35" s="91"/>
      <c r="U35" s="91"/>
      <c r="V35" s="51"/>
      <c r="W35" s="51"/>
      <c r="X35" s="51"/>
      <c r="Y35" s="51"/>
      <c r="Z35" s="92"/>
    </row>
    <row r="36" spans="1:26">
      <c r="A36" s="643" t="s">
        <v>293</v>
      </c>
      <c r="B36" s="643"/>
      <c r="C36" s="643"/>
      <c r="D36" s="643"/>
      <c r="E36" s="643"/>
      <c r="F36" s="643"/>
      <c r="G36" s="643"/>
      <c r="H36" s="643"/>
      <c r="I36" s="643"/>
      <c r="J36" s="643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644"/>
      <c r="V36" s="644"/>
      <c r="W36" s="644"/>
      <c r="X36" s="644"/>
      <c r="Y36" s="644"/>
      <c r="Z36" s="92"/>
    </row>
    <row r="37" spans="1:26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161"/>
      <c r="O37" s="91"/>
      <c r="P37" s="91"/>
      <c r="Q37" s="91"/>
      <c r="R37" s="91"/>
      <c r="S37" s="91"/>
      <c r="T37" s="91"/>
      <c r="U37" s="644"/>
      <c r="V37" s="644"/>
      <c r="W37" s="644"/>
      <c r="X37" s="644"/>
      <c r="Y37" s="644"/>
      <c r="Z37" s="92"/>
    </row>
    <row r="38" spans="1:26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651" t="s">
        <v>150</v>
      </c>
      <c r="V38" s="651"/>
      <c r="W38" s="651"/>
      <c r="X38" s="651"/>
      <c r="Y38" s="651"/>
      <c r="Z38" s="92"/>
    </row>
    <row r="39" spans="1:26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635" t="s">
        <v>274</v>
      </c>
      <c r="V39" s="635"/>
      <c r="W39" s="635"/>
      <c r="X39" s="635"/>
      <c r="Y39" s="635"/>
      <c r="Z39" s="92"/>
    </row>
    <row r="40" spans="1:26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635" t="s">
        <v>151</v>
      </c>
      <c r="V40" s="635"/>
      <c r="W40" s="635"/>
      <c r="X40" s="635"/>
      <c r="Y40" s="635"/>
      <c r="Z40" s="92"/>
    </row>
    <row r="41" spans="1:26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635" t="s">
        <v>275</v>
      </c>
      <c r="V41" s="635"/>
      <c r="W41" s="635"/>
      <c r="X41" s="635"/>
      <c r="Y41" s="635"/>
      <c r="Z41" s="172"/>
    </row>
    <row r="46" spans="1:26">
      <c r="R46" s="182">
        <f>R30-10900</f>
        <v>102881.95400150688</v>
      </c>
    </row>
  </sheetData>
  <mergeCells count="36">
    <mergeCell ref="R12:V12"/>
    <mergeCell ref="N13:Q13"/>
    <mergeCell ref="R13:W13"/>
    <mergeCell ref="Y6:Z6"/>
    <mergeCell ref="N9:Z9"/>
    <mergeCell ref="A6:F6"/>
    <mergeCell ref="G6:K6"/>
    <mergeCell ref="N6:R6"/>
    <mergeCell ref="T6:X6"/>
    <mergeCell ref="U38:Y38"/>
    <mergeCell ref="B27:J27"/>
    <mergeCell ref="B28:J28"/>
    <mergeCell ref="B29:J29"/>
    <mergeCell ref="A12:K13"/>
    <mergeCell ref="B14:J14"/>
    <mergeCell ref="B21:J21"/>
    <mergeCell ref="B22:J22"/>
    <mergeCell ref="B23:J23"/>
    <mergeCell ref="B24:J24"/>
    <mergeCell ref="B25:J25"/>
    <mergeCell ref="N12:Q12"/>
    <mergeCell ref="U39:Y39"/>
    <mergeCell ref="U40:Y40"/>
    <mergeCell ref="U41:Y41"/>
    <mergeCell ref="B15:J15"/>
    <mergeCell ref="F30:J30"/>
    <mergeCell ref="F31:J31"/>
    <mergeCell ref="A36:J36"/>
    <mergeCell ref="U36:Y36"/>
    <mergeCell ref="U37:Y37"/>
    <mergeCell ref="B16:J16"/>
    <mergeCell ref="B17:J17"/>
    <mergeCell ref="B18:J18"/>
    <mergeCell ref="B19:J19"/>
    <mergeCell ref="B20:J20"/>
    <mergeCell ref="B26:J26"/>
  </mergeCells>
  <conditionalFormatting sqref="N15:O29">
    <cfRule type="expression" dxfId="10" priority="4" stopIfTrue="1">
      <formula>$P15=1</formula>
    </cfRule>
  </conditionalFormatting>
  <conditionalFormatting sqref="Z15:Z29">
    <cfRule type="expression" dxfId="9" priority="5" stopIfTrue="1">
      <formula>OR($T15&lt;&gt;0,$V15&lt;&gt;0)</formula>
    </cfRule>
  </conditionalFormatting>
  <conditionalFormatting sqref="AA30">
    <cfRule type="cellIs" dxfId="8" priority="1" operator="between">
      <formula>0.01</formula>
      <formula>1</formula>
    </cfRule>
    <cfRule type="cellIs" priority="2" operator="between">
      <formula>0</formula>
      <formula>1</formula>
    </cfRule>
  </conditionalFormatting>
  <pageMargins left="0.511811024" right="0.511811024" top="0.78740157499999996" bottom="0.78740157499999996" header="0.31496062000000002" footer="0.31496062000000002"/>
  <pageSetup paperSize="9" scale="51" orientation="landscape" r:id="rId1"/>
  <drawing r:id="rId2"/>
  <legacyDrawing r:id="rId3"/>
  <oleObjects>
    <mc:AlternateContent xmlns:mc="http://schemas.openxmlformats.org/markup-compatibility/2006">
      <mc:Choice Requires="x14">
        <oleObject shapeId="6145" r:id="rId4">
          <objectPr defaultSize="0" autoPict="0" r:id="rId5">
            <anchor moveWithCells="1" sizeWithCells="1">
              <from>
                <xdr:col>0</xdr:col>
                <xdr:colOff>114300</xdr:colOff>
                <xdr:row>1</xdr:row>
                <xdr:rowOff>9525</xdr:rowOff>
              </from>
              <to>
                <xdr:col>4</xdr:col>
                <xdr:colOff>152400</xdr:colOff>
                <xdr:row>2</xdr:row>
                <xdr:rowOff>38100</xdr:rowOff>
              </to>
            </anchor>
          </objectPr>
        </oleObject>
      </mc:Choice>
      <mc:Fallback>
        <oleObject shapeId="6145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C2BD3-D1C9-48E9-B7BE-CA910FDC9ECE}">
  <dimension ref="A1:W132"/>
  <sheetViews>
    <sheetView view="pageBreakPreview" topLeftCell="A91" zoomScale="60" zoomScaleNormal="70" workbookViewId="0">
      <selection activeCell="C110" sqref="C110:J110"/>
    </sheetView>
  </sheetViews>
  <sheetFormatPr defaultRowHeight="15"/>
  <cols>
    <col min="1" max="1" width="18.28515625" style="13" customWidth="1"/>
    <col min="2" max="2" width="82.140625" style="406" customWidth="1"/>
    <col min="3" max="3" width="10.140625" style="13" customWidth="1"/>
    <col min="4" max="4" width="14.140625" style="3" customWidth="1"/>
    <col min="5" max="5" width="17.7109375" style="13" customWidth="1"/>
    <col min="6" max="6" width="27.7109375" style="13" customWidth="1"/>
    <col min="7" max="7" width="17.42578125" style="13" customWidth="1"/>
    <col min="8" max="8" width="23.140625" style="13" customWidth="1"/>
    <col min="9" max="9" width="15.140625" style="13" customWidth="1"/>
    <col min="10" max="10" width="24.42578125" style="13" customWidth="1"/>
    <col min="11" max="11" width="12.7109375" style="13" bestFit="1" customWidth="1"/>
    <col min="12" max="12" width="18" style="13" customWidth="1"/>
    <col min="13" max="13" width="18.5703125" style="13" customWidth="1"/>
    <col min="14" max="14" width="20" style="13" customWidth="1"/>
    <col min="15" max="15" width="29.5703125" style="13" customWidth="1"/>
    <col min="16" max="16" width="15.28515625" style="13" customWidth="1"/>
    <col min="17" max="17" width="37.42578125" style="293" customWidth="1"/>
    <col min="18" max="16384" width="9.140625" style="13"/>
  </cols>
  <sheetData>
    <row r="1" spans="1:23">
      <c r="A1" s="604"/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</row>
    <row r="2" spans="1:23" ht="20.25" customHeight="1">
      <c r="A2" s="604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</row>
    <row r="3" spans="1:23" ht="20.25" customHeight="1">
      <c r="A3" s="604"/>
      <c r="B3" s="604"/>
      <c r="C3" s="604"/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  <c r="O3" s="604"/>
    </row>
    <row r="4" spans="1:23" ht="103.5" customHeight="1">
      <c r="A4" s="552"/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604"/>
    </row>
    <row r="5" spans="1:23" ht="26.25" customHeight="1">
      <c r="A5" s="367" t="s">
        <v>445</v>
      </c>
      <c r="B5" s="732" t="s">
        <v>446</v>
      </c>
      <c r="C5" s="733"/>
      <c r="D5" s="733"/>
      <c r="E5" s="734"/>
      <c r="F5" s="368" t="s">
        <v>447</v>
      </c>
      <c r="G5" s="735" t="s">
        <v>448</v>
      </c>
      <c r="H5" s="736"/>
      <c r="I5" s="736"/>
      <c r="J5" s="737"/>
      <c r="K5" s="741" t="s">
        <v>449</v>
      </c>
      <c r="L5" s="743" t="s">
        <v>517</v>
      </c>
      <c r="M5" s="744"/>
      <c r="N5" s="747" t="s">
        <v>518</v>
      </c>
      <c r="O5" s="604"/>
    </row>
    <row r="6" spans="1:23" ht="24" customHeight="1">
      <c r="A6" s="369" t="s">
        <v>450</v>
      </c>
      <c r="B6" s="732" t="s">
        <v>451</v>
      </c>
      <c r="C6" s="733"/>
      <c r="D6" s="733"/>
      <c r="E6" s="734"/>
      <c r="F6" s="370">
        <v>44102</v>
      </c>
      <c r="G6" s="738"/>
      <c r="H6" s="739"/>
      <c r="I6" s="739"/>
      <c r="J6" s="740"/>
      <c r="K6" s="742"/>
      <c r="L6" s="745"/>
      <c r="M6" s="746"/>
      <c r="N6" s="748"/>
      <c r="O6" s="604"/>
    </row>
    <row r="7" spans="1:23" ht="28.5" customHeight="1">
      <c r="A7" s="369" t="s">
        <v>452</v>
      </c>
      <c r="B7" s="750" t="s">
        <v>161</v>
      </c>
      <c r="C7" s="750"/>
      <c r="D7" s="750"/>
      <c r="E7" s="751"/>
      <c r="F7" s="371" t="s">
        <v>453</v>
      </c>
      <c r="G7" s="725" t="s">
        <v>454</v>
      </c>
      <c r="H7" s="726"/>
      <c r="I7" s="725" t="s">
        <v>455</v>
      </c>
      <c r="J7" s="726"/>
      <c r="K7" s="725" t="s">
        <v>456</v>
      </c>
      <c r="L7" s="727"/>
      <c r="M7" s="726"/>
      <c r="N7" s="748"/>
      <c r="O7" s="604"/>
    </row>
    <row r="8" spans="1:23" ht="25.5" customHeight="1">
      <c r="A8" s="372" t="s">
        <v>457</v>
      </c>
      <c r="B8" s="752" t="s">
        <v>500</v>
      </c>
      <c r="C8" s="753"/>
      <c r="D8" s="753"/>
      <c r="E8" s="754"/>
      <c r="F8" s="370">
        <v>44132</v>
      </c>
      <c r="G8" s="725" t="s">
        <v>516</v>
      </c>
      <c r="H8" s="727"/>
      <c r="I8" s="727"/>
      <c r="J8" s="727"/>
      <c r="K8" s="727"/>
      <c r="L8" s="727"/>
      <c r="M8" s="726"/>
      <c r="N8" s="749"/>
      <c r="O8" s="604"/>
    </row>
    <row r="9" spans="1:23" ht="25.5" customHeight="1">
      <c r="A9" s="372" t="s">
        <v>499</v>
      </c>
      <c r="B9" s="729" t="s">
        <v>495</v>
      </c>
      <c r="C9" s="730"/>
      <c r="D9" s="730"/>
      <c r="E9" s="730"/>
      <c r="F9" s="730"/>
      <c r="G9" s="730"/>
      <c r="H9" s="730"/>
      <c r="I9" s="730"/>
      <c r="J9" s="730"/>
      <c r="K9" s="730"/>
      <c r="L9" s="730"/>
      <c r="M9" s="730"/>
      <c r="N9" s="731"/>
      <c r="O9" s="604"/>
    </row>
    <row r="10" spans="1:23" ht="35.25" customHeight="1">
      <c r="A10" s="755"/>
      <c r="B10" s="756"/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56"/>
      <c r="N10" s="757"/>
      <c r="O10" s="604"/>
    </row>
    <row r="11" spans="1:23" ht="30.75" customHeight="1">
      <c r="A11" s="758" t="s">
        <v>459</v>
      </c>
      <c r="B11" s="759"/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60"/>
      <c r="O11" s="604"/>
    </row>
    <row r="12" spans="1:23" ht="15.75" customHeight="1">
      <c r="A12" s="708" t="s">
        <v>460</v>
      </c>
      <c r="B12" s="709" t="s">
        <v>461</v>
      </c>
      <c r="C12" s="712" t="s">
        <v>498</v>
      </c>
      <c r="D12" s="713"/>
      <c r="E12" s="713"/>
      <c r="F12" s="714"/>
      <c r="G12" s="715" t="s">
        <v>462</v>
      </c>
      <c r="H12" s="716"/>
      <c r="I12" s="716"/>
      <c r="J12" s="716"/>
      <c r="K12" s="716"/>
      <c r="L12" s="716"/>
      <c r="M12" s="716"/>
      <c r="N12" s="717"/>
      <c r="O12" s="604"/>
    </row>
    <row r="13" spans="1:23">
      <c r="A13" s="708"/>
      <c r="B13" s="710"/>
      <c r="C13" s="718" t="s">
        <v>463</v>
      </c>
      <c r="D13" s="719" t="s">
        <v>294</v>
      </c>
      <c r="E13" s="720" t="s">
        <v>464</v>
      </c>
      <c r="F13" s="720" t="s">
        <v>465</v>
      </c>
      <c r="G13" s="761" t="s">
        <v>466</v>
      </c>
      <c r="H13" s="762"/>
      <c r="I13" s="762"/>
      <c r="J13" s="762"/>
      <c r="K13" s="762"/>
      <c r="L13" s="762"/>
      <c r="M13" s="762"/>
      <c r="N13" s="763"/>
      <c r="O13" s="604"/>
    </row>
    <row r="14" spans="1:23" ht="14.25" customHeight="1">
      <c r="A14" s="708"/>
      <c r="B14" s="710"/>
      <c r="C14" s="718"/>
      <c r="D14" s="719"/>
      <c r="E14" s="721"/>
      <c r="F14" s="721"/>
      <c r="G14" s="723" t="s">
        <v>497</v>
      </c>
      <c r="H14" s="724"/>
      <c r="I14" s="674" t="s">
        <v>467</v>
      </c>
      <c r="J14" s="675"/>
      <c r="K14" s="708" t="s">
        <v>468</v>
      </c>
      <c r="L14" s="708"/>
      <c r="M14" s="728" t="s">
        <v>469</v>
      </c>
      <c r="N14" s="704" t="s">
        <v>470</v>
      </c>
    </row>
    <row r="15" spans="1:23" ht="44.25" customHeight="1">
      <c r="A15" s="708"/>
      <c r="B15" s="711"/>
      <c r="C15" s="718"/>
      <c r="D15" s="719"/>
      <c r="E15" s="722"/>
      <c r="F15" s="722"/>
      <c r="G15" s="373" t="s">
        <v>294</v>
      </c>
      <c r="H15" s="373" t="s">
        <v>129</v>
      </c>
      <c r="I15" s="374" t="s">
        <v>294</v>
      </c>
      <c r="J15" s="374" t="s">
        <v>471</v>
      </c>
      <c r="K15" s="373" t="s">
        <v>294</v>
      </c>
      <c r="L15" s="374" t="s">
        <v>471</v>
      </c>
      <c r="M15" s="728"/>
      <c r="N15" s="704"/>
      <c r="O15" s="191"/>
      <c r="P15" s="191"/>
      <c r="Q15" s="349"/>
      <c r="R15" s="191"/>
      <c r="S15" s="191"/>
      <c r="T15" s="191"/>
      <c r="U15" s="191"/>
      <c r="V15" s="191"/>
      <c r="W15" s="191"/>
    </row>
    <row r="16" spans="1:23" s="379" customFormat="1" ht="15.75">
      <c r="A16" s="375" t="str">
        <f>[1]OBSOLETO!A4</f>
        <v xml:space="preserve"> 1 </v>
      </c>
      <c r="B16" s="376" t="str">
        <f>[1]OBSOLETO!C4</f>
        <v>SERVIÇO PRELIMINARES</v>
      </c>
      <c r="C16" s="377"/>
      <c r="D16" s="423"/>
      <c r="E16" s="377"/>
      <c r="F16" s="432"/>
      <c r="G16" s="437"/>
      <c r="H16" s="437"/>
      <c r="I16" s="437"/>
      <c r="J16" s="437"/>
      <c r="K16" s="437"/>
      <c r="L16" s="437"/>
      <c r="M16" s="437"/>
      <c r="N16" s="437"/>
      <c r="O16" s="475"/>
      <c r="P16" s="474"/>
      <c r="Q16" s="801"/>
      <c r="R16" s="474"/>
      <c r="S16" s="474"/>
      <c r="T16" s="474"/>
      <c r="U16" s="474"/>
      <c r="V16" s="474"/>
      <c r="W16" s="474"/>
    </row>
    <row r="17" spans="1:23" s="383" customFormat="1" ht="15.75">
      <c r="A17" s="380" t="s">
        <v>3</v>
      </c>
      <c r="B17" s="381" t="str">
        <f>[1]OBSOLETO!C5</f>
        <v>PLACA DE OBRA EM CHAPA DE ACO GALVANIZADO</v>
      </c>
      <c r="C17" s="382" t="s">
        <v>300</v>
      </c>
      <c r="D17" s="418">
        <v>6</v>
      </c>
      <c r="E17" s="410">
        <v>466.52199999999999</v>
      </c>
      <c r="F17" s="410">
        <v>2799.1369439999999</v>
      </c>
      <c r="G17" s="429">
        <v>6</v>
      </c>
      <c r="H17" s="430">
        <v>2799.1369439999999</v>
      </c>
      <c r="I17" s="449"/>
      <c r="J17" s="450">
        <f>I17*E17</f>
        <v>0</v>
      </c>
      <c r="K17" s="461"/>
      <c r="L17" s="462"/>
      <c r="M17" s="468">
        <v>0</v>
      </c>
      <c r="N17" s="469">
        <f>ROUND(H17/F17,2)</f>
        <v>1</v>
      </c>
      <c r="O17" s="475"/>
      <c r="P17" s="474"/>
      <c r="Q17" s="801"/>
      <c r="R17" s="474"/>
      <c r="S17" s="474"/>
      <c r="T17" s="474"/>
      <c r="U17" s="474"/>
      <c r="V17" s="474"/>
      <c r="W17" s="474"/>
    </row>
    <row r="18" spans="1:23" s="383" customFormat="1" ht="31.5">
      <c r="A18" s="380" t="s">
        <v>4</v>
      </c>
      <c r="B18" s="381" t="str">
        <f>[1]OBSOLETO!C6</f>
        <v>EXECUÇÃO DE ESCRITÓRIO EM CANTEIRO DE OBRA EM CHAPA DE MADEIRA COMPENSADA, NÃO INCLUSO MOBILIÁRIO E EQUIPAMENTOS. AF_02/2016</v>
      </c>
      <c r="C18" s="382" t="s">
        <v>300</v>
      </c>
      <c r="D18" s="418">
        <v>6</v>
      </c>
      <c r="E18" s="410">
        <v>755.13879999999995</v>
      </c>
      <c r="F18" s="410">
        <v>4530.8473920000006</v>
      </c>
      <c r="G18" s="429">
        <v>6</v>
      </c>
      <c r="H18" s="430">
        <v>4530.8473920000006</v>
      </c>
      <c r="I18" s="449"/>
      <c r="J18" s="450">
        <f>I18*E18</f>
        <v>0</v>
      </c>
      <c r="K18" s="461"/>
      <c r="L18" s="462"/>
      <c r="M18" s="468">
        <v>0</v>
      </c>
      <c r="N18" s="469">
        <f>ROUND(H18/F18,2)</f>
        <v>1</v>
      </c>
      <c r="O18" s="475"/>
      <c r="P18" s="474"/>
      <c r="Q18" s="801"/>
      <c r="R18" s="474"/>
      <c r="S18" s="474"/>
      <c r="T18" s="474"/>
      <c r="U18" s="474"/>
      <c r="V18" s="474"/>
      <c r="W18" s="474"/>
    </row>
    <row r="19" spans="1:23" s="378" customFormat="1" ht="15.75">
      <c r="A19" s="384"/>
      <c r="B19" s="385" t="s">
        <v>472</v>
      </c>
      <c r="C19" s="386"/>
      <c r="D19" s="424"/>
      <c r="E19" s="413"/>
      <c r="F19" s="411">
        <f>SUM(F17:F18)</f>
        <v>7329.9843360000004</v>
      </c>
      <c r="G19" s="446"/>
      <c r="H19" s="431">
        <f>SUM(H17:H18)</f>
        <v>7329.9843360000004</v>
      </c>
      <c r="I19" s="451">
        <f>G19+E19</f>
        <v>0</v>
      </c>
      <c r="J19" s="451">
        <f>SUM(J17:J18)</f>
        <v>0</v>
      </c>
      <c r="K19" s="451">
        <f>I19+G19</f>
        <v>0</v>
      </c>
      <c r="L19" s="451">
        <f>SUM(L17:L18)</f>
        <v>0</v>
      </c>
      <c r="M19" s="470">
        <f>SUM(M17:M18)</f>
        <v>0</v>
      </c>
      <c r="N19" s="471">
        <f>ROUND(H19/F19,2)</f>
        <v>1</v>
      </c>
      <c r="O19" s="387">
        <f>L19/F19</f>
        <v>0</v>
      </c>
      <c r="P19" s="475"/>
      <c r="Q19" s="802">
        <f>H19-F19</f>
        <v>0</v>
      </c>
      <c r="R19" s="475"/>
      <c r="S19" s="475"/>
      <c r="T19" s="475"/>
      <c r="U19" s="475"/>
      <c r="V19" s="475"/>
      <c r="W19" s="475"/>
    </row>
    <row r="20" spans="1:23" s="379" customFormat="1" ht="22.5" customHeight="1">
      <c r="A20" s="388" t="str">
        <f>[1]OBSOLETO!A7</f>
        <v xml:space="preserve"> 2 </v>
      </c>
      <c r="B20" s="376" t="str">
        <f>[1]OBSOLETO!C7</f>
        <v>MOBILIZAÇÃO E DESMOBILIZAÇÃO</v>
      </c>
      <c r="C20" s="419"/>
      <c r="D20" s="425"/>
      <c r="E20" s="412"/>
      <c r="F20" s="433"/>
      <c r="G20" s="438"/>
      <c r="H20" s="439"/>
      <c r="I20" s="452"/>
      <c r="J20" s="452"/>
      <c r="K20" s="452"/>
      <c r="L20" s="452"/>
      <c r="M20" s="437"/>
      <c r="N20" s="437"/>
      <c r="O20" s="378"/>
      <c r="P20" s="474"/>
      <c r="Q20" s="801"/>
      <c r="R20" s="474"/>
      <c r="S20" s="474"/>
      <c r="T20" s="474"/>
      <c r="U20" s="474"/>
      <c r="V20" s="474"/>
      <c r="W20" s="474"/>
    </row>
    <row r="21" spans="1:23" s="383" customFormat="1" ht="63">
      <c r="A21" s="380" t="str">
        <f>[1]OBSOLETO!A8</f>
        <v xml:space="preserve"> 2.1 </v>
      </c>
      <c r="B21" s="381" t="str">
        <f>[1]OBSOLETO!C8</f>
        <v>CAMINHÃO TOCO, PBT 14.300 KG, CARGA ÚTIL MÁX. 9.710 KG, DIST. ENTRE EIXOS 3,56 M, POTÊNCIA 185 CV, INCLUSIVE CARROCERIA FIXA ABERTA DE MADEIRA P/ TRANSPORTE GERAL DE CARGA SECA, DIMEN. APROX. 2,50 X 6,50 X 0,50 M - CHP DIURNO. AF_06/2014</v>
      </c>
      <c r="C21" s="382" t="str">
        <f>[1]OBSOLETO!D8</f>
        <v>CHP</v>
      </c>
      <c r="D21" s="418">
        <v>4</v>
      </c>
      <c r="E21" s="410">
        <v>132.39029199999999</v>
      </c>
      <c r="F21" s="410">
        <v>529.56116800000007</v>
      </c>
      <c r="G21" s="429">
        <v>4</v>
      </c>
      <c r="H21" s="430">
        <v>529.56116800000007</v>
      </c>
      <c r="I21" s="449"/>
      <c r="J21" s="450">
        <f>I21*E21</f>
        <v>0</v>
      </c>
      <c r="K21" s="461"/>
      <c r="L21" s="462"/>
      <c r="M21" s="468">
        <v>0</v>
      </c>
      <c r="N21" s="469">
        <f>ROUND(H21/F21,2)</f>
        <v>1</v>
      </c>
      <c r="O21" s="378"/>
      <c r="P21" s="474"/>
      <c r="Q21" s="801"/>
      <c r="R21" s="474"/>
      <c r="S21" s="474"/>
      <c r="T21" s="474"/>
      <c r="U21" s="474"/>
      <c r="V21" s="474"/>
      <c r="W21" s="474"/>
    </row>
    <row r="22" spans="1:23" s="378" customFormat="1" ht="15.75">
      <c r="A22" s="384"/>
      <c r="B22" s="385" t="s">
        <v>473</v>
      </c>
      <c r="C22" s="386"/>
      <c r="D22" s="424"/>
      <c r="E22" s="413"/>
      <c r="F22" s="434">
        <f>SUM(F21:F21)</f>
        <v>529.56116800000007</v>
      </c>
      <c r="G22" s="446"/>
      <c r="H22" s="431">
        <f>SUM(H21)</f>
        <v>529.56116800000007</v>
      </c>
      <c r="I22" s="451">
        <f>G22+E22</f>
        <v>0</v>
      </c>
      <c r="J22" s="451">
        <f>SUM(J21:J21)</f>
        <v>0</v>
      </c>
      <c r="K22" s="451">
        <f>I22+G22</f>
        <v>0</v>
      </c>
      <c r="L22" s="451">
        <f>SUM(L21:L21)</f>
        <v>0</v>
      </c>
      <c r="M22" s="470">
        <f>SUM(M21:M21)</f>
        <v>0</v>
      </c>
      <c r="N22" s="471">
        <f>ROUND(H22/F22,2)</f>
        <v>1</v>
      </c>
      <c r="O22" s="387">
        <f>L22/F22</f>
        <v>0</v>
      </c>
      <c r="P22" s="475"/>
      <c r="Q22" s="802">
        <f>H22-F22</f>
        <v>0</v>
      </c>
      <c r="R22" s="475"/>
      <c r="S22" s="475"/>
      <c r="T22" s="475"/>
      <c r="U22" s="475"/>
      <c r="V22" s="475"/>
      <c r="W22" s="475"/>
    </row>
    <row r="23" spans="1:23" s="379" customFormat="1" ht="15.75">
      <c r="A23" s="388">
        <v>3</v>
      </c>
      <c r="B23" s="376" t="str">
        <f>[1]OBSOLETO!C9</f>
        <v>ADMINISTRAÇÃO</v>
      </c>
      <c r="C23" s="419"/>
      <c r="D23" s="425"/>
      <c r="E23" s="412"/>
      <c r="F23" s="433"/>
      <c r="G23" s="438"/>
      <c r="H23" s="439"/>
      <c r="I23" s="452"/>
      <c r="J23" s="452"/>
      <c r="K23" s="452"/>
      <c r="L23" s="452"/>
      <c r="M23" s="437"/>
      <c r="N23" s="437"/>
      <c r="O23" s="378"/>
      <c r="P23" s="474"/>
      <c r="Q23" s="801"/>
      <c r="R23" s="474"/>
      <c r="S23" s="474"/>
      <c r="T23" s="474"/>
      <c r="U23" s="474"/>
      <c r="V23" s="474"/>
      <c r="W23" s="474"/>
    </row>
    <row r="24" spans="1:23" s="383" customFormat="1" ht="15.75" customHeight="1">
      <c r="A24" s="380" t="str">
        <f>[1]OBSOLETO!A10</f>
        <v xml:space="preserve"> 3.1 </v>
      </c>
      <c r="B24" s="381" t="str">
        <f>[1]OBSOLETO!C10</f>
        <v>ADMINISTRAÇÃO DA OBRA</v>
      </c>
      <c r="C24" s="382" t="str">
        <f>[1]OBSOLETO!D10</f>
        <v>%</v>
      </c>
      <c r="D24" s="418">
        <v>1</v>
      </c>
      <c r="E24" s="410">
        <v>22091.95</v>
      </c>
      <c r="F24" s="410">
        <v>22091.959844000001</v>
      </c>
      <c r="G24" s="429">
        <v>1</v>
      </c>
      <c r="H24" s="430">
        <v>22091.959844000001</v>
      </c>
      <c r="I24" s="453"/>
      <c r="J24" s="454"/>
      <c r="K24" s="453"/>
      <c r="L24" s="453"/>
      <c r="M24" s="472">
        <f>F24-(H24+J24)</f>
        <v>0</v>
      </c>
      <c r="N24" s="469">
        <f>ROUND(H24/F24,2)</f>
        <v>1</v>
      </c>
      <c r="O24" s="378"/>
      <c r="P24" s="474"/>
      <c r="Q24" s="801"/>
      <c r="R24" s="474"/>
      <c r="S24" s="474"/>
      <c r="T24" s="474"/>
      <c r="U24" s="474"/>
      <c r="V24" s="474"/>
      <c r="W24" s="474"/>
    </row>
    <row r="25" spans="1:23" s="378" customFormat="1" ht="15.75">
      <c r="A25" s="384"/>
      <c r="B25" s="385" t="s">
        <v>474</v>
      </c>
      <c r="C25" s="389"/>
      <c r="D25" s="426"/>
      <c r="E25" s="414"/>
      <c r="F25" s="435">
        <f>SUM(F24:F24)</f>
        <v>22091.959844000001</v>
      </c>
      <c r="G25" s="447"/>
      <c r="H25" s="440">
        <f>H24</f>
        <v>22091.959844000001</v>
      </c>
      <c r="I25" s="455">
        <f>G25+E25</f>
        <v>0</v>
      </c>
      <c r="J25" s="456">
        <f>SUM(J24:J24)</f>
        <v>0</v>
      </c>
      <c r="K25" s="455">
        <f>I25+G25</f>
        <v>0</v>
      </c>
      <c r="L25" s="455">
        <f>SUM(L24:L24)</f>
        <v>0</v>
      </c>
      <c r="M25" s="470">
        <f>SUM(M24:M24)</f>
        <v>0</v>
      </c>
      <c r="N25" s="471">
        <f>ROUND(H25/F25,2)</f>
        <v>1</v>
      </c>
      <c r="O25" s="387">
        <f>L25/F25</f>
        <v>0</v>
      </c>
      <c r="P25" s="475"/>
      <c r="Q25" s="802">
        <f>H25-F25</f>
        <v>0</v>
      </c>
      <c r="R25" s="475"/>
      <c r="S25" s="475"/>
      <c r="T25" s="475"/>
      <c r="U25" s="475"/>
      <c r="V25" s="475"/>
      <c r="W25" s="475"/>
    </row>
    <row r="26" spans="1:23" s="379" customFormat="1" ht="15.75">
      <c r="A26" s="388" t="str">
        <f>[1]OBSOLETO!A11</f>
        <v xml:space="preserve"> 4 </v>
      </c>
      <c r="B26" s="376" t="str">
        <f>[1]OBSOLETO!C11</f>
        <v>REMOÇÕES/DEMOLIÇÕES</v>
      </c>
      <c r="C26" s="419"/>
      <c r="D26" s="425"/>
      <c r="E26" s="412"/>
      <c r="F26" s="433"/>
      <c r="G26" s="438"/>
      <c r="H26" s="439"/>
      <c r="I26" s="452"/>
      <c r="J26" s="452"/>
      <c r="K26" s="452"/>
      <c r="L26" s="452"/>
      <c r="M26" s="437"/>
      <c r="N26" s="437"/>
      <c r="O26" s="378"/>
      <c r="P26" s="474"/>
      <c r="Q26" s="801"/>
      <c r="R26" s="474"/>
      <c r="S26" s="474"/>
      <c r="T26" s="474"/>
      <c r="U26" s="474"/>
      <c r="V26" s="474"/>
      <c r="W26" s="474"/>
    </row>
    <row r="27" spans="1:23" s="383" customFormat="1" ht="31.5">
      <c r="A27" s="380" t="s">
        <v>12</v>
      </c>
      <c r="B27" s="381" t="str">
        <f>[1]OBSOLETO!C12</f>
        <v>REMOÇÃO DE TRAMA DE MADEIRA PARA COBERTURA, DE FORMA MANUAL, SEM REAPROVEITAMENTO. AF_12/2017</v>
      </c>
      <c r="C27" s="382" t="s">
        <v>300</v>
      </c>
      <c r="D27" s="418">
        <v>553.29</v>
      </c>
      <c r="E27" s="410">
        <v>5.0924040000000002</v>
      </c>
      <c r="F27" s="417">
        <v>2817.57620916</v>
      </c>
      <c r="G27" s="429">
        <v>553.29</v>
      </c>
      <c r="H27" s="430">
        <v>2817.57620916</v>
      </c>
      <c r="I27" s="449"/>
      <c r="J27" s="450">
        <f>I27*E27</f>
        <v>0</v>
      </c>
      <c r="K27" s="461"/>
      <c r="L27" s="462"/>
      <c r="M27" s="473">
        <f>L27</f>
        <v>0</v>
      </c>
      <c r="N27" s="469">
        <f>ROUND(H27/F27,2)</f>
        <v>1</v>
      </c>
      <c r="O27" s="378"/>
      <c r="P27" s="474"/>
      <c r="Q27" s="801"/>
      <c r="R27" s="474"/>
      <c r="S27" s="474"/>
      <c r="T27" s="474"/>
      <c r="U27" s="474"/>
      <c r="V27" s="474"/>
      <c r="W27" s="474"/>
    </row>
    <row r="28" spans="1:23" s="383" customFormat="1" ht="31.5">
      <c r="A28" s="380" t="s">
        <v>377</v>
      </c>
      <c r="B28" s="390" t="str">
        <f>[1]OBSOLETO!C13</f>
        <v>REMOÇÃO DE TELHAS, DE FIBROCIMENTO, METÁLICA E CERÂMICA, DE FORMA MANUAL, SEM REAPROVEITAMENTO. AF_12/2017</v>
      </c>
      <c r="C28" s="391" t="s">
        <v>300</v>
      </c>
      <c r="D28" s="421">
        <v>553.29</v>
      </c>
      <c r="E28" s="410">
        <v>2.3691279999999999</v>
      </c>
      <c r="F28" s="417">
        <v>1310.8148311199998</v>
      </c>
      <c r="G28" s="429">
        <v>553.29</v>
      </c>
      <c r="H28" s="430">
        <v>1310.8148311199998</v>
      </c>
      <c r="I28" s="449"/>
      <c r="J28" s="450">
        <f t="shared" ref="J28:J34" si="0">I28*E28</f>
        <v>0</v>
      </c>
      <c r="K28" s="461"/>
      <c r="L28" s="462"/>
      <c r="M28" s="473">
        <f t="shared" ref="M28:M34" si="1">L28</f>
        <v>0</v>
      </c>
      <c r="N28" s="469">
        <f t="shared" ref="N28:N34" si="2">ROUND(H28/F28,2)</f>
        <v>1</v>
      </c>
      <c r="O28" s="378"/>
      <c r="P28" s="474"/>
      <c r="Q28" s="801"/>
      <c r="R28" s="474"/>
      <c r="S28" s="474"/>
      <c r="T28" s="474"/>
      <c r="U28" s="474"/>
      <c r="V28" s="474"/>
      <c r="W28" s="474"/>
    </row>
    <row r="29" spans="1:23" s="383" customFormat="1" ht="31.5">
      <c r="A29" s="380" t="s">
        <v>378</v>
      </c>
      <c r="B29" s="408" t="str">
        <f>[1]OBSOLETO!C14</f>
        <v>DEMOLIÇÃO DE ALVENARIA PARA QUALQUER TIPO DE BLOCO, DE FORMA MECANIZADA, SEM REAPROVEITAMENTO. AF_12/2017</v>
      </c>
      <c r="C29" s="391" t="s">
        <v>73</v>
      </c>
      <c r="D29" s="421">
        <v>4.3</v>
      </c>
      <c r="E29" s="410">
        <v>36.990147999999998</v>
      </c>
      <c r="F29" s="417">
        <v>159.05763639999998</v>
      </c>
      <c r="G29" s="441">
        <f>4.3+15.17</f>
        <v>19.47</v>
      </c>
      <c r="H29" s="442">
        <v>720.16119141199999</v>
      </c>
      <c r="I29" s="449"/>
      <c r="J29" s="450">
        <f t="shared" si="0"/>
        <v>0</v>
      </c>
      <c r="K29" s="461"/>
      <c r="L29" s="462"/>
      <c r="M29" s="473">
        <f t="shared" si="1"/>
        <v>0</v>
      </c>
      <c r="N29" s="469">
        <f>ROUND(H29/H29,2)</f>
        <v>1</v>
      </c>
      <c r="O29" s="378"/>
      <c r="P29" s="474"/>
      <c r="Q29" s="801"/>
      <c r="R29" s="474"/>
      <c r="S29" s="474"/>
      <c r="T29" s="474"/>
      <c r="U29" s="474"/>
      <c r="V29" s="474"/>
      <c r="W29" s="474"/>
    </row>
    <row r="30" spans="1:23" s="383" customFormat="1" ht="31.5">
      <c r="A30" s="380" t="s">
        <v>379</v>
      </c>
      <c r="B30" s="408" t="str">
        <f>[1]OBSOLETO!C15</f>
        <v>DEMOLIÇÃO DE REVESTIMENTO CERÂMICO, DE FORMA MANUAL, SEM REAPROVEITAMENTO. AF_12/2017</v>
      </c>
      <c r="C30" s="391" t="s">
        <v>300</v>
      </c>
      <c r="D30" s="421">
        <v>129.5</v>
      </c>
      <c r="E30" s="410">
        <v>15.838964000000002</v>
      </c>
      <c r="F30" s="417">
        <v>2051.1458380000004</v>
      </c>
      <c r="G30" s="441">
        <f>129.5+432.32</f>
        <v>561.81999999999994</v>
      </c>
      <c r="H30" s="442">
        <v>8898.6467544799998</v>
      </c>
      <c r="I30" s="449"/>
      <c r="J30" s="450">
        <f t="shared" si="0"/>
        <v>0</v>
      </c>
      <c r="K30" s="461"/>
      <c r="L30" s="462"/>
      <c r="M30" s="473">
        <f t="shared" si="1"/>
        <v>0</v>
      </c>
      <c r="N30" s="469">
        <f>ROUND(H30/H30,2)</f>
        <v>1</v>
      </c>
      <c r="O30" s="378"/>
      <c r="P30" s="474"/>
      <c r="Q30" s="801"/>
      <c r="R30" s="474"/>
      <c r="S30" s="474"/>
      <c r="T30" s="474"/>
      <c r="U30" s="474"/>
      <c r="V30" s="474"/>
      <c r="W30" s="474"/>
    </row>
    <row r="31" spans="1:23" s="383" customFormat="1" ht="15.75">
      <c r="A31" s="380" t="s">
        <v>380</v>
      </c>
      <c r="B31" s="390" t="str">
        <f>[1]OBSOLETO!C16</f>
        <v>REMOÇÃO DE LOUÇAS, DE FORMA MANUAL, SEM REAPROVEITAMENTO. AF_12/2017</v>
      </c>
      <c r="C31" s="391" t="s">
        <v>314</v>
      </c>
      <c r="D31" s="421">
        <v>8</v>
      </c>
      <c r="E31" s="410">
        <v>8.4384920000000001</v>
      </c>
      <c r="F31" s="417">
        <v>67.507936000000001</v>
      </c>
      <c r="G31" s="429">
        <v>8</v>
      </c>
      <c r="H31" s="430">
        <v>67.507936000000001</v>
      </c>
      <c r="I31" s="449"/>
      <c r="J31" s="450">
        <f t="shared" si="0"/>
        <v>0</v>
      </c>
      <c r="K31" s="461"/>
      <c r="L31" s="462"/>
      <c r="M31" s="473">
        <f t="shared" si="1"/>
        <v>0</v>
      </c>
      <c r="N31" s="469">
        <f t="shared" si="2"/>
        <v>1</v>
      </c>
      <c r="O31" s="378"/>
      <c r="P31" s="474"/>
      <c r="Q31" s="801"/>
      <c r="R31" s="474"/>
      <c r="S31" s="474"/>
      <c r="T31" s="474"/>
      <c r="U31" s="474"/>
      <c r="V31" s="474"/>
      <c r="W31" s="474"/>
    </row>
    <row r="32" spans="1:23" s="383" customFormat="1" ht="15.75">
      <c r="A32" s="380" t="s">
        <v>381</v>
      </c>
      <c r="B32" s="390" t="str">
        <f>[1]OBSOLETO!C17</f>
        <v>REMOÇÃO DE PORTAS, DE FORMA MANUAL, SEM REAPROVEITAMENTO. AF_12/2017</v>
      </c>
      <c r="C32" s="391" t="s">
        <v>300</v>
      </c>
      <c r="D32" s="421">
        <v>10.92</v>
      </c>
      <c r="E32" s="410">
        <v>6.3258159999999997</v>
      </c>
      <c r="F32" s="417">
        <v>69.077910719999991</v>
      </c>
      <c r="G32" s="429">
        <v>10.92</v>
      </c>
      <c r="H32" s="430">
        <v>69.077910719999991</v>
      </c>
      <c r="I32" s="449"/>
      <c r="J32" s="450">
        <f t="shared" si="0"/>
        <v>0</v>
      </c>
      <c r="K32" s="461"/>
      <c r="L32" s="462"/>
      <c r="M32" s="473">
        <f t="shared" si="1"/>
        <v>0</v>
      </c>
      <c r="N32" s="469">
        <f t="shared" si="2"/>
        <v>1</v>
      </c>
      <c r="O32" s="378"/>
      <c r="P32" s="474"/>
      <c r="Q32" s="801"/>
      <c r="R32" s="474"/>
      <c r="S32" s="474"/>
      <c r="T32" s="474"/>
      <c r="U32" s="474"/>
      <c r="V32" s="474"/>
      <c r="W32" s="474"/>
    </row>
    <row r="33" spans="1:23" s="383" customFormat="1" ht="31.5">
      <c r="A33" s="380" t="s">
        <v>382</v>
      </c>
      <c r="B33" s="390" t="str">
        <f>[1]OBSOLETO!C18</f>
        <v>DEMOLIÇÃO DE LAJES, DE FORMA MECANIZADA COM MARTELETE, SEM REAPROVEITAMENTO. AF_12/2017</v>
      </c>
      <c r="C33" s="391" t="s">
        <v>73</v>
      </c>
      <c r="D33" s="421">
        <v>19.170000000000002</v>
      </c>
      <c r="E33" s="410">
        <v>88.939996000000008</v>
      </c>
      <c r="F33" s="417">
        <v>1704.9797233200004</v>
      </c>
      <c r="G33" s="429">
        <v>19.170000000000002</v>
      </c>
      <c r="H33" s="430">
        <v>1704.9797233200004</v>
      </c>
      <c r="I33" s="449"/>
      <c r="J33" s="450">
        <f t="shared" si="0"/>
        <v>0</v>
      </c>
      <c r="K33" s="461"/>
      <c r="L33" s="462"/>
      <c r="M33" s="473">
        <f t="shared" si="1"/>
        <v>0</v>
      </c>
      <c r="N33" s="469">
        <f t="shared" si="2"/>
        <v>1</v>
      </c>
      <c r="O33" s="378"/>
      <c r="P33" s="474"/>
      <c r="Q33" s="801"/>
      <c r="R33" s="474"/>
      <c r="S33" s="474"/>
      <c r="T33" s="474"/>
      <c r="U33" s="474"/>
      <c r="V33" s="474"/>
      <c r="W33" s="474"/>
    </row>
    <row r="34" spans="1:23" s="383" customFormat="1" ht="15.75">
      <c r="A34" s="380" t="s">
        <v>383</v>
      </c>
      <c r="B34" s="409" t="s">
        <v>305</v>
      </c>
      <c r="C34" s="391" t="s">
        <v>72</v>
      </c>
      <c r="D34" s="421" t="s">
        <v>496</v>
      </c>
      <c r="E34" s="410">
        <v>17.672736621444752</v>
      </c>
      <c r="F34" s="417">
        <v>0</v>
      </c>
      <c r="G34" s="441">
        <v>80</v>
      </c>
      <c r="H34" s="442">
        <v>1413.8189297155802</v>
      </c>
      <c r="I34" s="449"/>
      <c r="J34" s="450">
        <f t="shared" si="0"/>
        <v>0</v>
      </c>
      <c r="K34" s="461"/>
      <c r="L34" s="462"/>
      <c r="M34" s="473">
        <f t="shared" si="1"/>
        <v>0</v>
      </c>
      <c r="N34" s="469">
        <f>ROUND(H34/H34,2)</f>
        <v>1</v>
      </c>
      <c r="O34" s="378"/>
      <c r="P34" s="474"/>
      <c r="Q34" s="801"/>
      <c r="R34" s="474"/>
      <c r="S34" s="474"/>
      <c r="T34" s="474"/>
      <c r="U34" s="474"/>
      <c r="V34" s="474"/>
      <c r="W34" s="474"/>
    </row>
    <row r="35" spans="1:23" s="378" customFormat="1" ht="15.75">
      <c r="A35" s="392"/>
      <c r="B35" s="385" t="s">
        <v>475</v>
      </c>
      <c r="C35" s="389"/>
      <c r="D35" s="427"/>
      <c r="E35" s="414"/>
      <c r="F35" s="435">
        <f>SUM(F27:F34)</f>
        <v>8180.1600847199998</v>
      </c>
      <c r="G35" s="447"/>
      <c r="H35" s="440">
        <f>SUM(H27:H34)</f>
        <v>17002.583485927578</v>
      </c>
      <c r="I35" s="455">
        <f t="shared" ref="I35" si="3">G35+E35</f>
        <v>0</v>
      </c>
      <c r="J35" s="455">
        <f>SUM(J27:J34)</f>
        <v>0</v>
      </c>
      <c r="K35" s="455">
        <f t="shared" ref="K35" si="4">I35+G35</f>
        <v>0</v>
      </c>
      <c r="L35" s="455">
        <f>SUM(L27:L33)</f>
        <v>0</v>
      </c>
      <c r="M35" s="470">
        <f>SUM(M27:M33)</f>
        <v>0</v>
      </c>
      <c r="N35" s="471">
        <f>ROUND(H35/H35,2)</f>
        <v>1</v>
      </c>
      <c r="O35" s="387">
        <f>L35/F35</f>
        <v>0</v>
      </c>
      <c r="P35" s="476"/>
      <c r="Q35" s="803">
        <f>H35-F35</f>
        <v>8822.4234012075794</v>
      </c>
      <c r="R35" s="476"/>
      <c r="S35" s="476"/>
      <c r="T35" s="476"/>
      <c r="U35" s="476"/>
      <c r="V35" s="476"/>
      <c r="W35" s="475"/>
    </row>
    <row r="36" spans="1:23" s="379" customFormat="1" ht="15.75">
      <c r="A36" s="393" t="str">
        <f>[1]OBSOLETO!A19</f>
        <v xml:space="preserve"> 5 </v>
      </c>
      <c r="B36" s="394" t="str">
        <f>[1]OBSOLETO!C19</f>
        <v>MATERIAIS/BANHEIROS</v>
      </c>
      <c r="C36" s="422"/>
      <c r="D36" s="428"/>
      <c r="E36" s="415"/>
      <c r="F36" s="436"/>
      <c r="G36" s="438"/>
      <c r="H36" s="439"/>
      <c r="I36" s="452"/>
      <c r="J36" s="452"/>
      <c r="K36" s="452"/>
      <c r="L36" s="452"/>
      <c r="M36" s="437"/>
      <c r="N36" s="437"/>
      <c r="O36" s="378"/>
      <c r="P36" s="474"/>
      <c r="Q36" s="801"/>
      <c r="R36" s="474"/>
      <c r="S36" s="474"/>
      <c r="T36" s="474"/>
      <c r="U36" s="474"/>
      <c r="V36" s="474"/>
      <c r="W36" s="474"/>
    </row>
    <row r="37" spans="1:23" s="383" customFormat="1" ht="31.5">
      <c r="A37" s="380" t="s">
        <v>14</v>
      </c>
      <c r="B37" s="390" t="str">
        <f>[1]OBSOLETO!C20</f>
        <v>CHUVEIRO COMUM EM PLASTICO BRANCO, COM CANO, 3 TEMPERATURAS, 5500 W (110/220)</v>
      </c>
      <c r="C37" s="382" t="s">
        <v>314</v>
      </c>
      <c r="D37" s="418">
        <v>2</v>
      </c>
      <c r="E37" s="410">
        <v>63.184888000000008</v>
      </c>
      <c r="F37" s="417">
        <v>126.36977600000002</v>
      </c>
      <c r="G37" s="429">
        <v>2</v>
      </c>
      <c r="H37" s="430">
        <v>126.36977600000002</v>
      </c>
      <c r="I37" s="449"/>
      <c r="J37" s="450">
        <f>I37*E37</f>
        <v>0</v>
      </c>
      <c r="K37" s="461"/>
      <c r="L37" s="462"/>
      <c r="M37" s="473">
        <f>L37</f>
        <v>0</v>
      </c>
      <c r="N37" s="469">
        <f>ROUND(H37/F37,2)</f>
        <v>1</v>
      </c>
      <c r="O37" s="378"/>
      <c r="P37" s="474"/>
      <c r="Q37" s="801"/>
      <c r="R37" s="474"/>
      <c r="S37" s="474"/>
      <c r="T37" s="474"/>
      <c r="U37" s="474"/>
      <c r="V37" s="474"/>
      <c r="W37" s="474"/>
    </row>
    <row r="38" spans="1:23" s="383" customFormat="1" ht="31.5">
      <c r="A38" s="380" t="s">
        <v>15</v>
      </c>
      <c r="B38" s="390" t="str">
        <f>[1]OBSOLETO!C21</f>
        <v>BARRA DE APOIO RETA, EM ACO INOX POLIDO, COMPRIMENTO 80CM, DIAMETRO MINIMO 3 CM</v>
      </c>
      <c r="C38" s="382" t="s">
        <v>314</v>
      </c>
      <c r="D38" s="418">
        <v>6</v>
      </c>
      <c r="E38" s="410">
        <v>106.19555199999999</v>
      </c>
      <c r="F38" s="417">
        <v>637.1733119999999</v>
      </c>
      <c r="G38" s="429">
        <v>6</v>
      </c>
      <c r="H38" s="430">
        <v>637.1733119999999</v>
      </c>
      <c r="I38" s="449"/>
      <c r="J38" s="450">
        <f t="shared" ref="J38:J53" si="5">I38*E38</f>
        <v>0</v>
      </c>
      <c r="K38" s="461"/>
      <c r="L38" s="462"/>
      <c r="M38" s="473">
        <f t="shared" ref="M38:M53" si="6">L38</f>
        <v>0</v>
      </c>
      <c r="N38" s="469">
        <f t="shared" ref="N38:N53" si="7">ROUND(H38/F38,2)</f>
        <v>1</v>
      </c>
      <c r="O38" s="378"/>
      <c r="P38" s="474"/>
      <c r="Q38" s="801"/>
      <c r="R38" s="474"/>
      <c r="S38" s="474"/>
      <c r="T38" s="474"/>
      <c r="U38" s="474"/>
      <c r="V38" s="474"/>
      <c r="W38" s="474"/>
    </row>
    <row r="39" spans="1:23" s="383" customFormat="1" ht="47.25">
      <c r="A39" s="380" t="s">
        <v>16</v>
      </c>
      <c r="B39" s="390" t="str">
        <f>[1]OBSOLETO!C22</f>
        <v>VASO SANITARIO SIFONADO CONVENCIONAL COM LOUÇA BRANCA, INCLUSO CONJUNTO DE LIGAÇÃO PARA BACIA SANITÁRIA AJUSTÁVEL - FORNECIMENTO E INSTALAÇÃO. AF_10/2016</v>
      </c>
      <c r="C39" s="382" t="s">
        <v>314</v>
      </c>
      <c r="D39" s="418">
        <v>4</v>
      </c>
      <c r="E39" s="410">
        <v>178.79589200000001</v>
      </c>
      <c r="F39" s="417">
        <v>715.18356800000004</v>
      </c>
      <c r="G39" s="429">
        <v>4</v>
      </c>
      <c r="H39" s="430">
        <v>715.18356800000004</v>
      </c>
      <c r="I39" s="449"/>
      <c r="J39" s="450">
        <f t="shared" si="5"/>
        <v>0</v>
      </c>
      <c r="K39" s="461"/>
      <c r="L39" s="462"/>
      <c r="M39" s="473">
        <f t="shared" si="6"/>
        <v>0</v>
      </c>
      <c r="N39" s="469">
        <f t="shared" si="7"/>
        <v>1</v>
      </c>
      <c r="O39" s="378"/>
      <c r="P39" s="474"/>
      <c r="Q39" s="801"/>
      <c r="R39" s="474"/>
      <c r="S39" s="474"/>
      <c r="T39" s="474"/>
      <c r="U39" s="474"/>
      <c r="V39" s="474"/>
      <c r="W39" s="474"/>
    </row>
    <row r="40" spans="1:23" s="383" customFormat="1" ht="31.5">
      <c r="A40" s="380" t="s">
        <v>17</v>
      </c>
      <c r="B40" s="390" t="str">
        <f>[1]OBSOLETO!C23</f>
        <v>VALVULA DESCARGA 1.1/2" COM REGISTRO, ACABAMENTO EM METAL CROMADO - FORNECIMENTO E INSTALACAO</v>
      </c>
      <c r="C40" s="382" t="s">
        <v>314</v>
      </c>
      <c r="D40" s="418">
        <v>6</v>
      </c>
      <c r="E40" s="410">
        <v>215.10216800000001</v>
      </c>
      <c r="F40" s="417">
        <v>1290.613008</v>
      </c>
      <c r="G40" s="429">
        <v>6</v>
      </c>
      <c r="H40" s="430">
        <v>1290.613008</v>
      </c>
      <c r="I40" s="449"/>
      <c r="J40" s="450">
        <f t="shared" si="5"/>
        <v>0</v>
      </c>
      <c r="K40" s="461"/>
      <c r="L40" s="462"/>
      <c r="M40" s="473">
        <f t="shared" si="6"/>
        <v>0</v>
      </c>
      <c r="N40" s="469">
        <f t="shared" si="7"/>
        <v>1</v>
      </c>
      <c r="O40" s="378"/>
      <c r="P40" s="474"/>
      <c r="Q40" s="801"/>
      <c r="R40" s="474"/>
      <c r="S40" s="474"/>
      <c r="T40" s="474"/>
      <c r="U40" s="474"/>
      <c r="V40" s="474"/>
      <c r="W40" s="474"/>
    </row>
    <row r="41" spans="1:23" s="383" customFormat="1" ht="31.5">
      <c r="A41" s="380" t="s">
        <v>194</v>
      </c>
      <c r="B41" s="390" t="str">
        <f>[1]OBSOLETO!C24</f>
        <v>VASO SANITARIO SIFONADO CONVENCIONAL PARA PCD SEM FURO FRONTAL COM  LOUÇA BRANCA SEM ASSENTO -  FORNECIMENTO E INSTALAÇÃO. AF_10/2016</v>
      </c>
      <c r="C41" s="382" t="s">
        <v>314</v>
      </c>
      <c r="D41" s="418">
        <v>2</v>
      </c>
      <c r="E41" s="410">
        <v>595.48154399999999</v>
      </c>
      <c r="F41" s="417">
        <v>1190.963088</v>
      </c>
      <c r="G41" s="429">
        <v>2</v>
      </c>
      <c r="H41" s="430">
        <v>1190.963088</v>
      </c>
      <c r="I41" s="449"/>
      <c r="J41" s="450">
        <f t="shared" si="5"/>
        <v>0</v>
      </c>
      <c r="K41" s="461"/>
      <c r="L41" s="462"/>
      <c r="M41" s="473">
        <f t="shared" si="6"/>
        <v>0</v>
      </c>
      <c r="N41" s="469">
        <f t="shared" si="7"/>
        <v>1</v>
      </c>
      <c r="O41" s="378"/>
      <c r="P41" s="474"/>
      <c r="Q41" s="801"/>
      <c r="R41" s="474"/>
      <c r="S41" s="474"/>
      <c r="T41" s="474"/>
      <c r="U41" s="474"/>
      <c r="V41" s="474"/>
      <c r="W41" s="474"/>
    </row>
    <row r="42" spans="1:23" s="383" customFormat="1" ht="31.5">
      <c r="A42" s="380" t="s">
        <v>195</v>
      </c>
      <c r="B42" s="390" t="str">
        <f>[1]OBSOLETO!C25</f>
        <v>LAVATÓRIO LOUÇA BRANCA COM COLUNA, *44 X 35,5* CM, PADRÃO POPULAR - FORNECIMENTO E INSTALAÇÃO. AF_12/2013</v>
      </c>
      <c r="C42" s="382" t="s">
        <v>314</v>
      </c>
      <c r="D42" s="418">
        <v>2</v>
      </c>
      <c r="E42" s="410">
        <v>210.68142400000002</v>
      </c>
      <c r="F42" s="417">
        <v>421.36284800000004</v>
      </c>
      <c r="G42" s="429">
        <v>2</v>
      </c>
      <c r="H42" s="430">
        <v>421.36284800000004</v>
      </c>
      <c r="I42" s="449"/>
      <c r="J42" s="450">
        <f t="shared" si="5"/>
        <v>0</v>
      </c>
      <c r="K42" s="461"/>
      <c r="L42" s="462"/>
      <c r="M42" s="473">
        <f t="shared" si="6"/>
        <v>0</v>
      </c>
      <c r="N42" s="469">
        <f t="shared" si="7"/>
        <v>1</v>
      </c>
      <c r="O42" s="378"/>
      <c r="P42" s="474"/>
      <c r="Q42" s="801"/>
      <c r="R42" s="474"/>
      <c r="S42" s="474"/>
      <c r="T42" s="474"/>
      <c r="U42" s="474"/>
      <c r="V42" s="474"/>
      <c r="W42" s="474"/>
    </row>
    <row r="43" spans="1:23" s="383" customFormat="1" ht="31.5">
      <c r="A43" s="380" t="s">
        <v>196</v>
      </c>
      <c r="B43" s="390" t="str">
        <f>[1]OBSOLETO!C26</f>
        <v>LAVATÓRIO LOUÇA BRANCA SUSPENSO, 29,5 X 39CM OU EQUIVALENTE, PADRÃO POPULAR - FORNECIMENTO E INSTALAÇÃO. AF_12/2013</v>
      </c>
      <c r="C43" s="382" t="s">
        <v>314</v>
      </c>
      <c r="D43" s="418">
        <v>4</v>
      </c>
      <c r="E43" s="410">
        <v>106.29324800000002</v>
      </c>
      <c r="F43" s="417">
        <v>425.17299200000008</v>
      </c>
      <c r="G43" s="429">
        <v>4</v>
      </c>
      <c r="H43" s="430">
        <v>425.17299200000008</v>
      </c>
      <c r="I43" s="449"/>
      <c r="J43" s="450">
        <f t="shared" si="5"/>
        <v>0</v>
      </c>
      <c r="K43" s="461"/>
      <c r="L43" s="462"/>
      <c r="M43" s="473">
        <f t="shared" si="6"/>
        <v>0</v>
      </c>
      <c r="N43" s="469">
        <f t="shared" si="7"/>
        <v>1</v>
      </c>
      <c r="O43" s="378"/>
      <c r="P43" s="474"/>
      <c r="Q43" s="801"/>
      <c r="R43" s="474"/>
      <c r="S43" s="474"/>
      <c r="T43" s="474"/>
      <c r="U43" s="474"/>
      <c r="V43" s="474"/>
      <c r="W43" s="474"/>
    </row>
    <row r="44" spans="1:23" s="383" customFormat="1" ht="31.5">
      <c r="A44" s="380" t="s">
        <v>197</v>
      </c>
      <c r="B44" s="390" t="str">
        <f>[1]OBSOLETO!C27</f>
        <v>TORNEIRA CROMADA 1/2" OU 3/4" PARA TANQUE, PADRÃO POPULAR - FORNECIMENTO E INSTALAÇÃO. AF_12/2013</v>
      </c>
      <c r="C44" s="382" t="s">
        <v>314</v>
      </c>
      <c r="D44" s="418">
        <v>6</v>
      </c>
      <c r="E44" s="410">
        <v>18.452332000000002</v>
      </c>
      <c r="F44" s="417">
        <v>110.71399200000002</v>
      </c>
      <c r="G44" s="429">
        <v>6</v>
      </c>
      <c r="H44" s="430">
        <v>110.71399200000002</v>
      </c>
      <c r="I44" s="449"/>
      <c r="J44" s="450">
        <f t="shared" si="5"/>
        <v>0</v>
      </c>
      <c r="K44" s="461"/>
      <c r="L44" s="462"/>
      <c r="M44" s="473">
        <f t="shared" si="6"/>
        <v>0</v>
      </c>
      <c r="N44" s="469">
        <f t="shared" si="7"/>
        <v>1</v>
      </c>
      <c r="O44" s="378"/>
      <c r="P44" s="474"/>
      <c r="Q44" s="801"/>
      <c r="R44" s="474"/>
      <c r="S44" s="474"/>
      <c r="T44" s="474"/>
      <c r="U44" s="474"/>
      <c r="V44" s="474"/>
      <c r="W44" s="474"/>
    </row>
    <row r="45" spans="1:23" s="383" customFormat="1" ht="31.5">
      <c r="A45" s="380" t="s">
        <v>384</v>
      </c>
      <c r="B45" s="390" t="str">
        <f>[1]OBSOLETO!C28</f>
        <v>GRANITO PARA BANCADA, POLIDO, TIPO ANDORINHA/ QUARTZ/ CASTELO/ CORUMBA OU OUTROS EQUIVALENTES DA REGIAO, E=  *2,5* CM</v>
      </c>
      <c r="C45" s="382" t="s">
        <v>300</v>
      </c>
      <c r="D45" s="418">
        <v>2.76</v>
      </c>
      <c r="E45" s="410">
        <v>205.320356</v>
      </c>
      <c r="F45" s="417">
        <v>566.68418255999995</v>
      </c>
      <c r="G45" s="429">
        <v>2.76</v>
      </c>
      <c r="H45" s="430">
        <v>566.68418255999995</v>
      </c>
      <c r="I45" s="449"/>
      <c r="J45" s="450">
        <f t="shared" si="5"/>
        <v>0</v>
      </c>
      <c r="K45" s="461"/>
      <c r="L45" s="462"/>
      <c r="M45" s="473">
        <f t="shared" si="6"/>
        <v>0</v>
      </c>
      <c r="N45" s="469">
        <f t="shared" si="7"/>
        <v>1</v>
      </c>
      <c r="O45" s="378"/>
      <c r="P45" s="474"/>
      <c r="Q45" s="801"/>
      <c r="R45" s="474"/>
      <c r="S45" s="474"/>
      <c r="T45" s="474"/>
      <c r="U45" s="474"/>
      <c r="V45" s="474"/>
      <c r="W45" s="474"/>
    </row>
    <row r="46" spans="1:23" s="383" customFormat="1" ht="47.25">
      <c r="A46" s="380" t="s">
        <v>385</v>
      </c>
      <c r="B46" s="390" t="str">
        <f>[1]OBSOLETO!C29</f>
        <v>TANQUE DE LOUÇA BRANCA COM COLUNA, 30L OU EQUIVALENTE, INCLUSO SIFÃO FLEXÍVEL EM PVC, VÁLVULA PLÁSTICA E TORNEIRA DE METAL CROMADO PADRÃO POPULAR - FORNECIMENTO E INSTALAÇÃO. AF_12/2013_P</v>
      </c>
      <c r="C46" s="382" t="s">
        <v>314</v>
      </c>
      <c r="D46" s="418">
        <v>1</v>
      </c>
      <c r="E46" s="410">
        <v>631.1405840000001</v>
      </c>
      <c r="F46" s="417">
        <v>631.1405840000001</v>
      </c>
      <c r="G46" s="429">
        <v>1</v>
      </c>
      <c r="H46" s="430">
        <v>631.1405840000001</v>
      </c>
      <c r="I46" s="449"/>
      <c r="J46" s="450">
        <f t="shared" si="5"/>
        <v>0</v>
      </c>
      <c r="K46" s="461"/>
      <c r="L46" s="462"/>
      <c r="M46" s="473">
        <f t="shared" si="6"/>
        <v>0</v>
      </c>
      <c r="N46" s="469">
        <f t="shared" si="7"/>
        <v>1</v>
      </c>
      <c r="O46" s="378"/>
      <c r="P46" s="474"/>
      <c r="Q46" s="801"/>
      <c r="R46" s="474"/>
      <c r="S46" s="474"/>
      <c r="T46" s="474"/>
      <c r="U46" s="474"/>
      <c r="V46" s="474"/>
      <c r="W46" s="474"/>
    </row>
    <row r="47" spans="1:23" s="383" customFormat="1" ht="15.75">
      <c r="A47" s="380" t="s">
        <v>386</v>
      </c>
      <c r="B47" s="390" t="str">
        <f>[1]OBSOLETO!C30</f>
        <v>PORTA DE FERRO TIPO VENEZIANA, DE ABRIR, SEM BANDEIRA SEM FERRAGENS</v>
      </c>
      <c r="C47" s="382" t="s">
        <v>300</v>
      </c>
      <c r="D47" s="418">
        <v>3.36</v>
      </c>
      <c r="E47" s="410">
        <v>366.28672800000004</v>
      </c>
      <c r="F47" s="417">
        <v>1230.7234060800001</v>
      </c>
      <c r="G47" s="429">
        <v>3.36</v>
      </c>
      <c r="H47" s="430">
        <v>1230.7234060800001</v>
      </c>
      <c r="I47" s="449"/>
      <c r="J47" s="450">
        <f t="shared" si="5"/>
        <v>0</v>
      </c>
      <c r="K47" s="461"/>
      <c r="L47" s="462"/>
      <c r="M47" s="473">
        <f t="shared" si="6"/>
        <v>0</v>
      </c>
      <c r="N47" s="469">
        <f t="shared" si="7"/>
        <v>1</v>
      </c>
      <c r="O47" s="378"/>
      <c r="P47" s="474"/>
      <c r="Q47" s="801"/>
      <c r="R47" s="474"/>
      <c r="S47" s="474"/>
      <c r="T47" s="474"/>
      <c r="U47" s="474"/>
      <c r="V47" s="474"/>
      <c r="W47" s="474"/>
    </row>
    <row r="48" spans="1:23" s="383" customFormat="1" ht="31.5">
      <c r="A48" s="380" t="s">
        <v>387</v>
      </c>
      <c r="B48" s="390" t="str">
        <f>[1]OBSOLETO!C31</f>
        <v>PORTA EM ALUMÍNIO DE ABRIR TIPO VENEZIANA COM GUARNIÇÃO, FIXAÇÃO COM PARAFUSOS - FORNECIMENTO E INSTALAÇÃO. AF_08/2015</v>
      </c>
      <c r="C48" s="382" t="s">
        <v>300</v>
      </c>
      <c r="D48" s="418">
        <v>11.34</v>
      </c>
      <c r="E48" s="410">
        <v>377.50955600000003</v>
      </c>
      <c r="F48" s="417">
        <v>4280.95836504</v>
      </c>
      <c r="G48" s="429">
        <v>11.34</v>
      </c>
      <c r="H48" s="430">
        <v>4280.95836504</v>
      </c>
      <c r="I48" s="449"/>
      <c r="J48" s="450">
        <f t="shared" si="5"/>
        <v>0</v>
      </c>
      <c r="K48" s="461"/>
      <c r="L48" s="462"/>
      <c r="M48" s="473">
        <f t="shared" si="6"/>
        <v>0</v>
      </c>
      <c r="N48" s="469">
        <f t="shared" si="7"/>
        <v>1</v>
      </c>
      <c r="O48" s="378"/>
      <c r="P48" s="474"/>
      <c r="Q48" s="801"/>
      <c r="R48" s="474"/>
      <c r="S48" s="474"/>
      <c r="T48" s="474"/>
      <c r="U48" s="474"/>
      <c r="V48" s="474"/>
      <c r="W48" s="474"/>
    </row>
    <row r="49" spans="1:23" s="383" customFormat="1" ht="63">
      <c r="A49" s="380" t="s">
        <v>388</v>
      </c>
      <c r="B49" s="409" t="s">
        <v>327</v>
      </c>
      <c r="C49" s="382" t="s">
        <v>300</v>
      </c>
      <c r="D49" s="418" t="s">
        <v>496</v>
      </c>
      <c r="E49" s="410">
        <v>30.372986718430511</v>
      </c>
      <c r="F49" s="417">
        <v>0</v>
      </c>
      <c r="G49" s="441">
        <v>54.6</v>
      </c>
      <c r="H49" s="442">
        <v>1658.365074826306</v>
      </c>
      <c r="I49" s="449"/>
      <c r="J49" s="450">
        <f t="shared" si="5"/>
        <v>0</v>
      </c>
      <c r="K49" s="461"/>
      <c r="L49" s="462"/>
      <c r="M49" s="473">
        <f t="shared" si="6"/>
        <v>0</v>
      </c>
      <c r="N49" s="469">
        <f>ROUND(H49/H49,2)</f>
        <v>1</v>
      </c>
      <c r="O49" s="378"/>
      <c r="P49" s="474"/>
      <c r="Q49" s="801"/>
      <c r="R49" s="474"/>
      <c r="S49" s="474"/>
      <c r="T49" s="474"/>
      <c r="U49" s="474"/>
      <c r="V49" s="474"/>
      <c r="W49" s="474"/>
    </row>
    <row r="50" spans="1:23" s="383" customFormat="1" ht="31.5">
      <c r="A50" s="380" t="s">
        <v>389</v>
      </c>
      <c r="B50" s="409" t="s">
        <v>328</v>
      </c>
      <c r="C50" s="382" t="s">
        <v>262</v>
      </c>
      <c r="D50" s="418" t="s">
        <v>496</v>
      </c>
      <c r="E50" s="410">
        <v>2.1429932596082613</v>
      </c>
      <c r="F50" s="417">
        <v>0</v>
      </c>
      <c r="G50" s="441">
        <v>100</v>
      </c>
      <c r="H50" s="442">
        <v>214.29932596082614</v>
      </c>
      <c r="I50" s="449"/>
      <c r="J50" s="450">
        <f t="shared" si="5"/>
        <v>0</v>
      </c>
      <c r="K50" s="461"/>
      <c r="L50" s="462"/>
      <c r="M50" s="473">
        <f t="shared" si="6"/>
        <v>0</v>
      </c>
      <c r="N50" s="469">
        <f t="shared" ref="N50:N53" si="8">ROUND(H50/H50,2)</f>
        <v>1</v>
      </c>
      <c r="O50" s="378"/>
      <c r="P50" s="474"/>
      <c r="Q50" s="801"/>
      <c r="R50" s="474"/>
      <c r="S50" s="474"/>
      <c r="T50" s="474"/>
      <c r="U50" s="474"/>
      <c r="V50" s="474"/>
      <c r="W50" s="474"/>
    </row>
    <row r="51" spans="1:23" s="383" customFormat="1" ht="31.5">
      <c r="A51" s="380" t="s">
        <v>390</v>
      </c>
      <c r="B51" s="409" t="s">
        <v>338</v>
      </c>
      <c r="C51" s="382" t="s">
        <v>329</v>
      </c>
      <c r="D51" s="418" t="s">
        <v>496</v>
      </c>
      <c r="E51" s="410">
        <v>25.270621814601313</v>
      </c>
      <c r="F51" s="417">
        <v>0</v>
      </c>
      <c r="G51" s="441">
        <v>12</v>
      </c>
      <c r="H51" s="442">
        <v>303.24746177521575</v>
      </c>
      <c r="I51" s="449"/>
      <c r="J51" s="450">
        <f t="shared" si="5"/>
        <v>0</v>
      </c>
      <c r="K51" s="461"/>
      <c r="L51" s="462"/>
      <c r="M51" s="473">
        <f t="shared" si="6"/>
        <v>0</v>
      </c>
      <c r="N51" s="469">
        <f t="shared" si="8"/>
        <v>1</v>
      </c>
      <c r="O51" s="378"/>
      <c r="P51" s="474"/>
      <c r="Q51" s="801"/>
      <c r="R51" s="474"/>
      <c r="S51" s="474"/>
      <c r="T51" s="474"/>
      <c r="U51" s="474"/>
      <c r="V51" s="474"/>
      <c r="W51" s="474"/>
    </row>
    <row r="52" spans="1:23" s="383" customFormat="1" ht="47.25">
      <c r="A52" s="380" t="s">
        <v>391</v>
      </c>
      <c r="B52" s="409" t="s">
        <v>330</v>
      </c>
      <c r="C52" s="382" t="s">
        <v>329</v>
      </c>
      <c r="D52" s="418" t="s">
        <v>496</v>
      </c>
      <c r="E52" s="410">
        <v>91.916784485708462</v>
      </c>
      <c r="F52" s="417">
        <v>0</v>
      </c>
      <c r="G52" s="441">
        <v>3</v>
      </c>
      <c r="H52" s="442">
        <v>275.75035345712536</v>
      </c>
      <c r="I52" s="449"/>
      <c r="J52" s="450">
        <f t="shared" si="5"/>
        <v>0</v>
      </c>
      <c r="K52" s="461"/>
      <c r="L52" s="462"/>
      <c r="M52" s="473">
        <f t="shared" si="6"/>
        <v>0</v>
      </c>
      <c r="N52" s="469">
        <f t="shared" si="8"/>
        <v>1</v>
      </c>
      <c r="O52" s="378"/>
      <c r="P52" s="474"/>
      <c r="Q52" s="801"/>
      <c r="R52" s="474"/>
      <c r="S52" s="474"/>
      <c r="T52" s="474"/>
      <c r="U52" s="474"/>
      <c r="V52" s="474"/>
      <c r="W52" s="474"/>
    </row>
    <row r="53" spans="1:23" s="383" customFormat="1" ht="47.25">
      <c r="A53" s="380" t="s">
        <v>392</v>
      </c>
      <c r="B53" s="409" t="s">
        <v>331</v>
      </c>
      <c r="C53" s="382" t="s">
        <v>329</v>
      </c>
      <c r="D53" s="418" t="s">
        <v>496</v>
      </c>
      <c r="E53" s="410">
        <v>107.91037920243849</v>
      </c>
      <c r="F53" s="417">
        <v>0</v>
      </c>
      <c r="G53" s="441">
        <v>2</v>
      </c>
      <c r="H53" s="442">
        <v>215.82075840487698</v>
      </c>
      <c r="I53" s="449"/>
      <c r="J53" s="450">
        <f t="shared" si="5"/>
        <v>0</v>
      </c>
      <c r="K53" s="461"/>
      <c r="L53" s="462"/>
      <c r="M53" s="473">
        <f t="shared" si="6"/>
        <v>0</v>
      </c>
      <c r="N53" s="469">
        <f t="shared" si="8"/>
        <v>1</v>
      </c>
      <c r="O53" s="378"/>
      <c r="P53" s="474"/>
      <c r="Q53" s="801"/>
      <c r="R53" s="474"/>
      <c r="S53" s="474"/>
      <c r="T53" s="474"/>
      <c r="U53" s="474"/>
      <c r="V53" s="474"/>
      <c r="W53" s="474"/>
    </row>
    <row r="54" spans="1:23" s="378" customFormat="1" ht="15.75">
      <c r="A54" s="395"/>
      <c r="B54" s="385" t="s">
        <v>476</v>
      </c>
      <c r="C54" s="386"/>
      <c r="D54" s="426"/>
      <c r="E54" s="414"/>
      <c r="F54" s="435">
        <f>SUM(F37:F53)</f>
        <v>11627.059121679998</v>
      </c>
      <c r="G54" s="447"/>
      <c r="H54" s="440">
        <f>SUM(H37:H53)</f>
        <v>14294.542096104351</v>
      </c>
      <c r="I54" s="455">
        <f t="shared" ref="I54" si="9">G54+E54</f>
        <v>0</v>
      </c>
      <c r="J54" s="455">
        <f>SUM(J37:J53)</f>
        <v>0</v>
      </c>
      <c r="K54" s="455">
        <f t="shared" ref="K54" si="10">I54+G54</f>
        <v>0</v>
      </c>
      <c r="L54" s="455">
        <f>SUM(L37:L53)</f>
        <v>0</v>
      </c>
      <c r="M54" s="470">
        <f>SUM(M37:M53)</f>
        <v>0</v>
      </c>
      <c r="N54" s="471">
        <f>ROUND(H54/H54,2)</f>
        <v>1</v>
      </c>
      <c r="O54" s="387">
        <f>L54/F54</f>
        <v>0</v>
      </c>
      <c r="P54" s="475"/>
      <c r="Q54" s="802">
        <f>H54-F54</f>
        <v>2667.4829744243525</v>
      </c>
      <c r="R54" s="475"/>
      <c r="S54" s="475"/>
      <c r="T54" s="475"/>
      <c r="U54" s="475"/>
      <c r="V54" s="475"/>
      <c r="W54" s="475"/>
    </row>
    <row r="55" spans="1:23" s="379" customFormat="1" ht="15.75">
      <c r="A55" s="388" t="str">
        <f>[1]OBSOLETO!A32</f>
        <v xml:space="preserve"> 6 </v>
      </c>
      <c r="B55" s="376" t="str">
        <f>[1]OBSOLETO!C32</f>
        <v>INSTALAÇÕES HIDROSANITÁRIAS</v>
      </c>
      <c r="C55" s="419"/>
      <c r="D55" s="425"/>
      <c r="E55" s="412"/>
      <c r="F55" s="433"/>
      <c r="G55" s="438"/>
      <c r="H55" s="439"/>
      <c r="I55" s="452"/>
      <c r="J55" s="452"/>
      <c r="K55" s="452"/>
      <c r="L55" s="452"/>
      <c r="M55" s="437"/>
      <c r="N55" s="437"/>
      <c r="O55" s="378"/>
      <c r="P55" s="474"/>
      <c r="Q55" s="801"/>
      <c r="R55" s="474"/>
      <c r="S55" s="474"/>
      <c r="T55" s="474"/>
      <c r="U55" s="474"/>
      <c r="V55" s="474"/>
      <c r="W55" s="474"/>
    </row>
    <row r="56" spans="1:23" s="383" customFormat="1" ht="47.25">
      <c r="A56" s="380" t="s">
        <v>19</v>
      </c>
      <c r="B56" s="381" t="str">
        <f>[1]OBSOLETO!C33</f>
        <v>(COMPOSIÇÃO REPRESENTATIVA) DO SERVIÇO DE INSTALAÇÃO DE TUBOS DE PVC, SOLDÁVEL, ÁGUA FRIA, DN 40 MM (INSTALADO EM PRUMADA), INCLUSIVE CONEXÕES, CORTES E FIXAÇÕES, PARA PRÉDIOS. AF_10/2015</v>
      </c>
      <c r="C56" s="382" t="s">
        <v>262</v>
      </c>
      <c r="D56" s="418">
        <v>20</v>
      </c>
      <c r="E56" s="410">
        <v>20.100952000000003</v>
      </c>
      <c r="F56" s="417">
        <v>402.01904000000007</v>
      </c>
      <c r="G56" s="429">
        <v>20</v>
      </c>
      <c r="H56" s="430">
        <v>402.01904000000007</v>
      </c>
      <c r="I56" s="449"/>
      <c r="J56" s="450">
        <f t="shared" ref="J56:J61" si="11">I56*E56</f>
        <v>0</v>
      </c>
      <c r="K56" s="461"/>
      <c r="L56" s="462"/>
      <c r="M56" s="473">
        <f>L56</f>
        <v>0</v>
      </c>
      <c r="N56" s="469">
        <f>ROUND(H56/F56,2)</f>
        <v>1</v>
      </c>
      <c r="O56" s="378"/>
      <c r="P56" s="474"/>
      <c r="Q56" s="801"/>
      <c r="R56" s="474"/>
      <c r="S56" s="474"/>
      <c r="T56" s="474"/>
      <c r="U56" s="474"/>
      <c r="V56" s="474"/>
      <c r="W56" s="474"/>
    </row>
    <row r="57" spans="1:23" s="383" customFormat="1" ht="63">
      <c r="A57" s="380" t="s">
        <v>20</v>
      </c>
      <c r="B57" s="381" t="str">
        <f>[1]OBSOLETO!C34</f>
        <v>(COMPOSIÇÃO REPRESENTATIVA) DO SERVIÇO DE INST. TUBO PVC, SÉRIE N, ESGOTO PREDIAL, 100 MM (INST. RAMAL DESCARGA, RAMAL DE ESG. SANIT., PRUMADA ESG. SANIT., VENTILAÇÃO OU SUB-COLETOR AÉREO), INCL. CONEXÕES E CORTES, FIXAÇÕES, P/ PRÉDIOS. AF_10/2015</v>
      </c>
      <c r="C57" s="382" t="s">
        <v>262</v>
      </c>
      <c r="D57" s="418">
        <v>46</v>
      </c>
      <c r="E57" s="410">
        <v>47.138320000000007</v>
      </c>
      <c r="F57" s="417">
        <v>2168.3627200000005</v>
      </c>
      <c r="G57" s="429">
        <v>46</v>
      </c>
      <c r="H57" s="430">
        <v>2168.3627200000005</v>
      </c>
      <c r="I57" s="449"/>
      <c r="J57" s="450">
        <f t="shared" si="11"/>
        <v>0</v>
      </c>
      <c r="K57" s="461"/>
      <c r="L57" s="462"/>
      <c r="M57" s="473">
        <f t="shared" ref="M57:M61" si="12">L57</f>
        <v>0</v>
      </c>
      <c r="N57" s="469">
        <f t="shared" ref="N57" si="13">ROUND(H57/F57,2)</f>
        <v>1</v>
      </c>
      <c r="O57" s="378"/>
      <c r="P57" s="474"/>
      <c r="Q57" s="801"/>
      <c r="R57" s="474"/>
      <c r="S57" s="474"/>
      <c r="T57" s="474"/>
      <c r="U57" s="474"/>
      <c r="V57" s="474"/>
      <c r="W57" s="474"/>
    </row>
    <row r="58" spans="1:23" s="383" customFormat="1" ht="63">
      <c r="A58" s="380" t="s">
        <v>21</v>
      </c>
      <c r="B58" s="409" t="s">
        <v>200</v>
      </c>
      <c r="C58" s="382" t="s">
        <v>262</v>
      </c>
      <c r="D58" s="418" t="s">
        <v>496</v>
      </c>
      <c r="E58" s="410">
        <v>18.730317710602076</v>
      </c>
      <c r="F58" s="417">
        <v>0</v>
      </c>
      <c r="G58" s="441">
        <v>120</v>
      </c>
      <c r="H58" s="442">
        <v>2247.638125272249</v>
      </c>
      <c r="I58" s="449"/>
      <c r="J58" s="450">
        <f t="shared" si="11"/>
        <v>0</v>
      </c>
      <c r="K58" s="461"/>
      <c r="L58" s="462"/>
      <c r="M58" s="473">
        <f t="shared" si="12"/>
        <v>0</v>
      </c>
      <c r="N58" s="469">
        <f>ROUND(H58/H58,2)</f>
        <v>1</v>
      </c>
      <c r="O58" s="378"/>
      <c r="P58" s="474"/>
      <c r="Q58" s="801"/>
      <c r="R58" s="474"/>
      <c r="S58" s="474"/>
      <c r="T58" s="474"/>
      <c r="U58" s="474"/>
      <c r="V58" s="474"/>
      <c r="W58" s="474"/>
    </row>
    <row r="59" spans="1:23" s="383" customFormat="1" ht="31.5">
      <c r="A59" s="380" t="s">
        <v>230</v>
      </c>
      <c r="B59" s="409" t="s">
        <v>296</v>
      </c>
      <c r="C59" s="382" t="s">
        <v>262</v>
      </c>
      <c r="D59" s="418" t="s">
        <v>496</v>
      </c>
      <c r="E59" s="410">
        <v>34.58475702086406</v>
      </c>
      <c r="F59" s="417">
        <v>0</v>
      </c>
      <c r="G59" s="441">
        <v>66</v>
      </c>
      <c r="H59" s="442">
        <v>2282.5939633770281</v>
      </c>
      <c r="I59" s="449"/>
      <c r="J59" s="450">
        <f t="shared" si="11"/>
        <v>0</v>
      </c>
      <c r="K59" s="461"/>
      <c r="L59" s="462"/>
      <c r="M59" s="473">
        <f t="shared" si="12"/>
        <v>0</v>
      </c>
      <c r="N59" s="469">
        <f t="shared" ref="N59:N61" si="14">ROUND(H59/H59,2)</f>
        <v>1</v>
      </c>
      <c r="O59" s="378"/>
      <c r="P59" s="474"/>
      <c r="Q59" s="801"/>
      <c r="R59" s="474"/>
      <c r="S59" s="474"/>
      <c r="T59" s="474"/>
      <c r="U59" s="474"/>
      <c r="V59" s="474"/>
      <c r="W59" s="474"/>
    </row>
    <row r="60" spans="1:23" s="383" customFormat="1" ht="31.5">
      <c r="A60" s="380" t="s">
        <v>231</v>
      </c>
      <c r="B60" s="409" t="s">
        <v>297</v>
      </c>
      <c r="C60" s="382" t="s">
        <v>73</v>
      </c>
      <c r="D60" s="418" t="s">
        <v>496</v>
      </c>
      <c r="E60" s="410">
        <v>55.560115289150986</v>
      </c>
      <c r="F60" s="417">
        <v>0</v>
      </c>
      <c r="G60" s="441">
        <v>12</v>
      </c>
      <c r="H60" s="442">
        <v>666.72138346981183</v>
      </c>
      <c r="I60" s="449"/>
      <c r="J60" s="450">
        <f t="shared" si="11"/>
        <v>0</v>
      </c>
      <c r="K60" s="461"/>
      <c r="L60" s="462"/>
      <c r="M60" s="473">
        <f t="shared" si="12"/>
        <v>0</v>
      </c>
      <c r="N60" s="469">
        <f t="shared" si="14"/>
        <v>1</v>
      </c>
      <c r="O60" s="378"/>
      <c r="P60" s="474"/>
      <c r="Q60" s="801"/>
      <c r="R60" s="474"/>
      <c r="S60" s="474"/>
      <c r="T60" s="474"/>
      <c r="U60" s="474"/>
      <c r="V60" s="474"/>
      <c r="W60" s="474"/>
    </row>
    <row r="61" spans="1:23" s="383" customFormat="1" ht="47.25">
      <c r="A61" s="380" t="s">
        <v>232</v>
      </c>
      <c r="B61" s="409" t="s">
        <v>298</v>
      </c>
      <c r="C61" s="382" t="s">
        <v>262</v>
      </c>
      <c r="D61" s="418" t="s">
        <v>496</v>
      </c>
      <c r="E61" s="410">
        <v>26.263263714073538</v>
      </c>
      <c r="F61" s="417">
        <v>0</v>
      </c>
      <c r="G61" s="441">
        <v>72</v>
      </c>
      <c r="H61" s="442">
        <v>1890.9549874132947</v>
      </c>
      <c r="I61" s="449"/>
      <c r="J61" s="450">
        <f t="shared" si="11"/>
        <v>0</v>
      </c>
      <c r="K61" s="461"/>
      <c r="L61" s="462"/>
      <c r="M61" s="473">
        <f t="shared" si="12"/>
        <v>0</v>
      </c>
      <c r="N61" s="469">
        <f t="shared" si="14"/>
        <v>1</v>
      </c>
      <c r="O61" s="378"/>
      <c r="P61" s="474"/>
      <c r="Q61" s="801"/>
      <c r="R61" s="474"/>
      <c r="S61" s="474"/>
      <c r="T61" s="474"/>
      <c r="U61" s="474"/>
      <c r="V61" s="474"/>
      <c r="W61" s="474"/>
    </row>
    <row r="62" spans="1:23" s="378" customFormat="1" ht="15.75">
      <c r="A62" s="396"/>
      <c r="B62" s="385" t="s">
        <v>477</v>
      </c>
      <c r="C62" s="389"/>
      <c r="D62" s="426"/>
      <c r="E62" s="416"/>
      <c r="F62" s="435">
        <f>SUM(F56:F61)</f>
        <v>2570.3817600000007</v>
      </c>
      <c r="G62" s="448"/>
      <c r="H62" s="443">
        <f>SUM(H56:H61)</f>
        <v>9658.2902195323859</v>
      </c>
      <c r="I62" s="457">
        <f>G62+E62</f>
        <v>0</v>
      </c>
      <c r="J62" s="457">
        <f>SUM(J56:J61)</f>
        <v>0</v>
      </c>
      <c r="K62" s="457">
        <f>I62+G62</f>
        <v>0</v>
      </c>
      <c r="L62" s="457">
        <f>SUM(L56:L61)</f>
        <v>0</v>
      </c>
      <c r="M62" s="470">
        <v>0</v>
      </c>
      <c r="N62" s="471">
        <f>ROUND(H62/H62,2)</f>
        <v>1</v>
      </c>
      <c r="O62" s="387">
        <f>L62/F62</f>
        <v>0</v>
      </c>
      <c r="P62" s="475"/>
      <c r="Q62" s="802">
        <f>H62-F62</f>
        <v>7087.9084595323857</v>
      </c>
      <c r="R62" s="475"/>
      <c r="S62" s="475"/>
      <c r="T62" s="475"/>
      <c r="U62" s="475"/>
      <c r="V62" s="475"/>
      <c r="W62" s="475"/>
    </row>
    <row r="63" spans="1:23" s="379" customFormat="1" ht="15.75">
      <c r="A63" s="388" t="str">
        <f>[1]OBSOLETO!A35</f>
        <v xml:space="preserve"> 7 </v>
      </c>
      <c r="B63" s="376" t="str">
        <f>[1]OBSOLETO!C35</f>
        <v>ALVENARIA</v>
      </c>
      <c r="C63" s="419"/>
      <c r="D63" s="425"/>
      <c r="E63" s="412"/>
      <c r="F63" s="433"/>
      <c r="G63" s="438"/>
      <c r="H63" s="439"/>
      <c r="I63" s="452"/>
      <c r="J63" s="452"/>
      <c r="K63" s="452"/>
      <c r="L63" s="452"/>
      <c r="M63" s="437"/>
      <c r="N63" s="437"/>
      <c r="O63" s="378"/>
      <c r="P63" s="474"/>
      <c r="Q63" s="801"/>
      <c r="R63" s="474"/>
      <c r="S63" s="474"/>
      <c r="T63" s="474"/>
      <c r="U63" s="474"/>
      <c r="V63" s="474"/>
      <c r="W63" s="474"/>
    </row>
    <row r="64" spans="1:23" s="383" customFormat="1" ht="63">
      <c r="A64" s="380" t="str">
        <f>[1]OBSOLETO!A36</f>
        <v xml:space="preserve"> 7.1 </v>
      </c>
      <c r="B64" s="408" t="str">
        <f>[1]OBSOLETO!C36</f>
        <v>(COMPOSIÇÃO REPRESENTATIVA) DO SERVIÇO DE ALVENARIA DE VEDAÇÃO DE BLOCOS VAZADOS DE CERÂMICA DE 9X19X19CM (ESPESSURA 9CM), PARA EDIFICAÇÃO HABITACIONAL UNIFAMILIAR (CASA) E EDIFICAÇÃO PÚBLICA PADRÃO. AF_11/2014</v>
      </c>
      <c r="C64" s="382" t="s">
        <v>300</v>
      </c>
      <c r="D64" s="418">
        <v>12.208</v>
      </c>
      <c r="E64" s="410">
        <v>69.889275999999995</v>
      </c>
      <c r="F64" s="417">
        <v>853.20828140799995</v>
      </c>
      <c r="G64" s="441">
        <f>12.21+51</f>
        <v>63.21</v>
      </c>
      <c r="H64" s="442">
        <v>4417.5613574079998</v>
      </c>
      <c r="I64" s="458"/>
      <c r="J64" s="450">
        <f t="shared" ref="J64:J66" si="15">I64*E64</f>
        <v>0</v>
      </c>
      <c r="K64" s="461"/>
      <c r="L64" s="462"/>
      <c r="M64" s="473">
        <f t="shared" ref="M64:M65" si="16">L64</f>
        <v>0</v>
      </c>
      <c r="N64" s="469">
        <f t="shared" ref="N64:N66" si="17">ROUND(H64/H64,2)</f>
        <v>1</v>
      </c>
      <c r="O64" s="378"/>
      <c r="P64" s="474"/>
      <c r="Q64" s="801"/>
      <c r="R64" s="474"/>
      <c r="S64" s="474"/>
      <c r="T64" s="474"/>
      <c r="U64" s="474"/>
      <c r="V64" s="474"/>
      <c r="W64" s="474"/>
    </row>
    <row r="65" spans="1:23" s="383" customFormat="1" ht="47.25">
      <c r="A65" s="380" t="str">
        <f>[1]OBSOLETO!A37</f>
        <v xml:space="preserve"> 7.2 </v>
      </c>
      <c r="B65" s="408" t="str">
        <f>[1]OBSOLETO!C37</f>
        <v>CHAPISCO APLICADO EM ALVENARIA (SEM PRESENÇA DE VÃOS) E ESTRUTURAS DE CONCRETO DE FACHADA, COM COLHER DE PEDREIRO.  ARGAMASSA TRAÇO 1:3 COM PREPARO EM BETONEIRA 400L. AF_06/2014</v>
      </c>
      <c r="C65" s="382" t="s">
        <v>300</v>
      </c>
      <c r="D65" s="418">
        <v>24.416</v>
      </c>
      <c r="E65" s="410">
        <v>4.8603760000000005</v>
      </c>
      <c r="F65" s="417">
        <v>118.67094041600001</v>
      </c>
      <c r="G65" s="441">
        <f>24.42+210</f>
        <v>234.42000000000002</v>
      </c>
      <c r="H65" s="442">
        <v>1139.3499004160001</v>
      </c>
      <c r="I65" s="458"/>
      <c r="J65" s="450">
        <f t="shared" si="15"/>
        <v>0</v>
      </c>
      <c r="K65" s="461"/>
      <c r="L65" s="462"/>
      <c r="M65" s="473">
        <f t="shared" si="16"/>
        <v>0</v>
      </c>
      <c r="N65" s="469">
        <f t="shared" si="17"/>
        <v>1</v>
      </c>
      <c r="O65" s="378"/>
      <c r="P65" s="474"/>
      <c r="Q65" s="801"/>
      <c r="R65" s="474"/>
      <c r="S65" s="474"/>
      <c r="T65" s="474"/>
      <c r="U65" s="474"/>
      <c r="V65" s="474"/>
      <c r="W65" s="474"/>
    </row>
    <row r="66" spans="1:23" s="383" customFormat="1" ht="63">
      <c r="A66" s="380" t="str">
        <f>[1]OBSOLETO!A38</f>
        <v xml:space="preserve"> 7.3 </v>
      </c>
      <c r="B66" s="408" t="str">
        <f>[1]OBSOLETO!C38</f>
        <v>(COMPOSIÇÃO REPRESENTATIVA) DO SERVIÇO DE EMBOÇO/MASSA ÚNICA, APLICADO MANUALMENTE, TRAÇO 1:2:8, EM BETONEIRA DE 400L, PAREDES INTERNAS, COM EXECUÇÃO DE TALISCAS, EDIFICAÇÃO HABITACIONAL UNIFAMILIAR (CASAS) E EDIFICAÇÃO PÚBLICA PADRÃO. AF_12/2014</v>
      </c>
      <c r="C66" s="382" t="s">
        <v>300</v>
      </c>
      <c r="D66" s="418">
        <v>24.416</v>
      </c>
      <c r="E66" s="410">
        <v>29.638524</v>
      </c>
      <c r="F66" s="417">
        <v>723.654201984</v>
      </c>
      <c r="G66" s="441">
        <f>24.42+210</f>
        <v>234.42000000000002</v>
      </c>
      <c r="H66" s="442">
        <v>6947.7442419839999</v>
      </c>
      <c r="I66" s="458"/>
      <c r="J66" s="450">
        <f t="shared" si="15"/>
        <v>0</v>
      </c>
      <c r="K66" s="461"/>
      <c r="L66" s="462"/>
      <c r="M66" s="468">
        <v>0</v>
      </c>
      <c r="N66" s="469">
        <f t="shared" si="17"/>
        <v>1</v>
      </c>
      <c r="O66" s="378"/>
      <c r="P66" s="474"/>
      <c r="Q66" s="801"/>
      <c r="R66" s="474"/>
      <c r="S66" s="474"/>
      <c r="T66" s="474"/>
      <c r="U66" s="474"/>
      <c r="V66" s="474"/>
      <c r="W66" s="474"/>
    </row>
    <row r="67" spans="1:23" s="378" customFormat="1" ht="15.75">
      <c r="A67" s="396"/>
      <c r="B67" s="385" t="s">
        <v>478</v>
      </c>
      <c r="C67" s="389"/>
      <c r="D67" s="426"/>
      <c r="E67" s="414"/>
      <c r="F67" s="435">
        <f>SUM(F64:F66)</f>
        <v>1695.533423808</v>
      </c>
      <c r="G67" s="448"/>
      <c r="H67" s="443">
        <f>SUM(H64:H66)</f>
        <v>12504.655499807999</v>
      </c>
      <c r="I67" s="457">
        <f>G67+E67</f>
        <v>0</v>
      </c>
      <c r="J67" s="457">
        <f>SUM(J64:J66)</f>
        <v>0</v>
      </c>
      <c r="K67" s="457">
        <f>I67+G67</f>
        <v>0</v>
      </c>
      <c r="L67" s="457">
        <f>SUM(L64:L66)</f>
        <v>0</v>
      </c>
      <c r="M67" s="470">
        <f>SUM(M64:M66)</f>
        <v>0</v>
      </c>
      <c r="N67" s="471">
        <f>ROUND(H67/H67,2)</f>
        <v>1</v>
      </c>
      <c r="O67" s="387">
        <f>L67/F67</f>
        <v>0</v>
      </c>
      <c r="P67" s="475"/>
      <c r="Q67" s="802">
        <f>H67-F67</f>
        <v>10809.122076</v>
      </c>
      <c r="R67" s="475"/>
      <c r="S67" s="475"/>
      <c r="T67" s="475"/>
      <c r="U67" s="475"/>
      <c r="V67" s="475"/>
      <c r="W67" s="475"/>
    </row>
    <row r="68" spans="1:23" s="379" customFormat="1" ht="15.75">
      <c r="A68" s="388" t="str">
        <f>[1]OBSOLETO!A39</f>
        <v xml:space="preserve"> 8 </v>
      </c>
      <c r="B68" s="376" t="str">
        <f>[1]OBSOLETO!C39</f>
        <v>REVESTIMENTOS</v>
      </c>
      <c r="C68" s="419"/>
      <c r="D68" s="425"/>
      <c r="E68" s="412"/>
      <c r="F68" s="433"/>
      <c r="G68" s="438"/>
      <c r="H68" s="439"/>
      <c r="I68" s="452"/>
      <c r="J68" s="452"/>
      <c r="K68" s="452"/>
      <c r="L68" s="452"/>
      <c r="M68" s="437"/>
      <c r="N68" s="437"/>
      <c r="O68" s="378"/>
      <c r="P68" s="474"/>
      <c r="Q68" s="801"/>
      <c r="R68" s="474"/>
      <c r="S68" s="474"/>
      <c r="T68" s="474"/>
      <c r="U68" s="474"/>
      <c r="V68" s="474"/>
      <c r="W68" s="474"/>
    </row>
    <row r="69" spans="1:23" s="383" customFormat="1" ht="47.25">
      <c r="A69" s="380" t="str">
        <f>[1]OBSOLETO!A40</f>
        <v xml:space="preserve"> 8.1 </v>
      </c>
      <c r="B69" s="408" t="str">
        <f>[1]OBSOLETO!C40</f>
        <v>REVESTIMENTO CERÂMICO PARA PAREDES INTERNAS COM PLACAS TIPO ESMALTADA EXTRA DE DIMENSÕES 25X35 CM APLICADAS EM AMBIENTES DE ÁREA MAIOR QUE 5 M² NA ALTURA INTEIRA DAS PAREDES. AF_06/2014</v>
      </c>
      <c r="C69" s="382" t="s">
        <v>300</v>
      </c>
      <c r="D69" s="418">
        <v>115.696</v>
      </c>
      <c r="E69" s="410">
        <v>45.428640000000009</v>
      </c>
      <c r="F69" s="417">
        <v>5255.9119334400011</v>
      </c>
      <c r="G69" s="441">
        <f>115.696+313.72</f>
        <v>429.41600000000005</v>
      </c>
      <c r="H69" s="442">
        <v>19507.784874240002</v>
      </c>
      <c r="I69" s="458"/>
      <c r="J69" s="450">
        <f t="shared" ref="J69:J70" si="18">I69*E69</f>
        <v>0</v>
      </c>
      <c r="K69" s="461"/>
      <c r="L69" s="462"/>
      <c r="M69" s="468">
        <v>0</v>
      </c>
      <c r="N69" s="469">
        <f t="shared" ref="N69:N70" si="19">ROUND(H69/H69,2)</f>
        <v>1</v>
      </c>
      <c r="O69" s="378"/>
      <c r="P69" s="474"/>
      <c r="Q69" s="801"/>
      <c r="R69" s="474"/>
      <c r="S69" s="474"/>
      <c r="T69" s="474"/>
      <c r="U69" s="474"/>
      <c r="V69" s="474"/>
      <c r="W69" s="474"/>
    </row>
    <row r="70" spans="1:23" s="383" customFormat="1" ht="47.25">
      <c r="A70" s="380" t="str">
        <f>[1]OBSOLETO!A41</f>
        <v xml:space="preserve"> 8.2 </v>
      </c>
      <c r="B70" s="408" t="str">
        <f>[1]OBSOLETO!C41</f>
        <v>REVESTIMENTO CERÂMICO PARA PISO COM PLACAS TIPO ESMALTADA EXTRA DE DIMENSÕES 35X35 CM APLICADA EM AMBIENTES DE ÁREA MAIOR QUE 10 M2. AF_06/2014</v>
      </c>
      <c r="C70" s="382" t="s">
        <v>300</v>
      </c>
      <c r="D70" s="418">
        <v>54.6</v>
      </c>
      <c r="E70" s="410">
        <v>33.106732000000001</v>
      </c>
      <c r="F70" s="417">
        <v>1807.6275672000002</v>
      </c>
      <c r="G70" s="441">
        <f>54.6+118.6</f>
        <v>173.2</v>
      </c>
      <c r="H70" s="442">
        <v>5734.0859823999999</v>
      </c>
      <c r="I70" s="449"/>
      <c r="J70" s="450">
        <f t="shared" si="18"/>
        <v>0</v>
      </c>
      <c r="K70" s="461"/>
      <c r="L70" s="462"/>
      <c r="M70" s="468">
        <v>0</v>
      </c>
      <c r="N70" s="469">
        <f t="shared" si="19"/>
        <v>1</v>
      </c>
      <c r="O70" s="378"/>
      <c r="P70" s="474"/>
      <c r="Q70" s="801"/>
      <c r="R70" s="474"/>
      <c r="S70" s="474"/>
      <c r="T70" s="474"/>
      <c r="U70" s="474"/>
      <c r="V70" s="474"/>
      <c r="W70" s="474"/>
    </row>
    <row r="71" spans="1:23" s="378" customFormat="1" ht="15.75">
      <c r="A71" s="396"/>
      <c r="B71" s="385" t="s">
        <v>479</v>
      </c>
      <c r="C71" s="389"/>
      <c r="D71" s="426"/>
      <c r="E71" s="414"/>
      <c r="F71" s="435">
        <f>SUM(F69:F70)</f>
        <v>7063.5395006400013</v>
      </c>
      <c r="G71" s="448"/>
      <c r="H71" s="443">
        <f>SUM(H69:H70)</f>
        <v>25241.870856640002</v>
      </c>
      <c r="I71" s="457">
        <f>G71+E71</f>
        <v>0</v>
      </c>
      <c r="J71" s="457">
        <f>SUM(J69:J70)</f>
        <v>0</v>
      </c>
      <c r="K71" s="457">
        <f>I71+G71</f>
        <v>0</v>
      </c>
      <c r="L71" s="457">
        <f>SUM(L69:L70)</f>
        <v>0</v>
      </c>
      <c r="M71" s="470">
        <f>SUM(M69:M70)</f>
        <v>0</v>
      </c>
      <c r="N71" s="471">
        <f>ROUND(H71/H71,2)</f>
        <v>1</v>
      </c>
      <c r="O71" s="387">
        <f>L71/F71</f>
        <v>0</v>
      </c>
      <c r="P71" s="475"/>
      <c r="Q71" s="802">
        <f>H71-F71</f>
        <v>18178.331356000002</v>
      </c>
      <c r="R71" s="475"/>
      <c r="S71" s="475"/>
      <c r="T71" s="475"/>
      <c r="U71" s="475"/>
      <c r="V71" s="475"/>
      <c r="W71" s="475"/>
    </row>
    <row r="72" spans="1:23" s="379" customFormat="1" ht="15.75">
      <c r="A72" s="388" t="str">
        <f>[1]OBSOLETO!A42</f>
        <v xml:space="preserve"> 9 </v>
      </c>
      <c r="B72" s="376" t="str">
        <f>[1]OBSOLETO!C42</f>
        <v>PINTURA</v>
      </c>
      <c r="C72" s="419"/>
      <c r="D72" s="425"/>
      <c r="E72" s="412"/>
      <c r="F72" s="433"/>
      <c r="G72" s="438"/>
      <c r="H72" s="439"/>
      <c r="I72" s="452"/>
      <c r="J72" s="452"/>
      <c r="K72" s="452"/>
      <c r="L72" s="452"/>
      <c r="M72" s="437"/>
      <c r="N72" s="437"/>
      <c r="O72" s="378"/>
      <c r="P72" s="474"/>
      <c r="Q72" s="801"/>
      <c r="R72" s="474"/>
      <c r="S72" s="474"/>
      <c r="T72" s="474"/>
      <c r="U72" s="474"/>
      <c r="V72" s="474"/>
      <c r="W72" s="474"/>
    </row>
    <row r="73" spans="1:23" s="383" customFormat="1" ht="31.5">
      <c r="A73" s="380" t="str">
        <f>[1]OBSOLETO!A43</f>
        <v xml:space="preserve"> 9.1 </v>
      </c>
      <c r="B73" s="408" t="str">
        <f>[1]OBSOLETO!C43</f>
        <v>APLICAÇÃO MANUAL DE PINTURA COM TINTA LÁTEX PVA EM PAREDES, DUAS DEMÃOS. AF_06/2014</v>
      </c>
      <c r="C73" s="382" t="s">
        <v>300</v>
      </c>
      <c r="D73" s="418">
        <v>1182.4100000000001</v>
      </c>
      <c r="E73" s="410">
        <v>7.9378000000000002</v>
      </c>
      <c r="F73" s="417">
        <v>9385.7340980000008</v>
      </c>
      <c r="G73" s="441">
        <f>1182.41+994.81</f>
        <v>2177.2200000000003</v>
      </c>
      <c r="H73" s="442">
        <v>17282.336916000004</v>
      </c>
      <c r="I73" s="449">
        <v>994.81</v>
      </c>
      <c r="J73" s="450">
        <f t="shared" ref="J73:J75" si="20">I73*E73</f>
        <v>7896.6028179999994</v>
      </c>
      <c r="K73" s="461"/>
      <c r="L73" s="462"/>
      <c r="M73" s="473">
        <f t="shared" ref="M73:M75" si="21">L73</f>
        <v>0</v>
      </c>
      <c r="N73" s="799">
        <f t="shared" ref="N73" si="22">ROUND(H73/H73,2)</f>
        <v>1</v>
      </c>
      <c r="O73" s="798">
        <f>J73/H73</f>
        <v>0.45691753704265059</v>
      </c>
      <c r="P73" s="474"/>
      <c r="Q73" s="802"/>
      <c r="R73" s="474"/>
      <c r="S73" s="474"/>
      <c r="T73" s="474"/>
      <c r="U73" s="474"/>
      <c r="V73" s="474"/>
      <c r="W73" s="474"/>
    </row>
    <row r="74" spans="1:23" s="383" customFormat="1" ht="15.75">
      <c r="A74" s="380" t="str">
        <f>[1]OBSOLETO!A44</f>
        <v xml:space="preserve"> 9.2 </v>
      </c>
      <c r="B74" s="408" t="str">
        <f>[1]OBSOLETO!C44</f>
        <v>PINTURA ESMALTE ACETINADO, DUAS DEMAOS, SOBRE SUPERFICIE METALICA</v>
      </c>
      <c r="C74" s="382" t="s">
        <v>300</v>
      </c>
      <c r="D74" s="418">
        <v>268.93400000000003</v>
      </c>
      <c r="E74" s="410">
        <v>21.322152000000003</v>
      </c>
      <c r="F74" s="417">
        <v>5734.2516259680015</v>
      </c>
      <c r="G74" s="441">
        <f>268.934+272</f>
        <v>540.93399999999997</v>
      </c>
      <c r="H74" s="442">
        <v>11533.876969968002</v>
      </c>
      <c r="I74" s="449"/>
      <c r="J74" s="450">
        <f t="shared" si="20"/>
        <v>0</v>
      </c>
      <c r="K74" s="461"/>
      <c r="L74" s="462"/>
      <c r="M74" s="473">
        <f t="shared" si="21"/>
        <v>0</v>
      </c>
      <c r="N74" s="469">
        <f t="shared" ref="N74:N76" si="23">ROUND(H74/H74,2)</f>
        <v>1</v>
      </c>
      <c r="O74" s="378"/>
      <c r="P74" s="474"/>
      <c r="Q74" s="801"/>
      <c r="R74" s="474"/>
      <c r="S74" s="474"/>
      <c r="T74" s="474"/>
      <c r="U74" s="474"/>
      <c r="V74" s="474"/>
      <c r="W74" s="474"/>
    </row>
    <row r="75" spans="1:23" s="383" customFormat="1" ht="15.75">
      <c r="A75" s="380" t="str">
        <f>[1]OBSOLETO!A45</f>
        <v xml:space="preserve"> 9.3 </v>
      </c>
      <c r="B75" s="408" t="str">
        <f>[1]OBSOLETO!C45</f>
        <v>PINTURA EPOXI, DUAS DEMAOS</v>
      </c>
      <c r="C75" s="382" t="s">
        <v>300</v>
      </c>
      <c r="D75" s="418">
        <v>167.64</v>
      </c>
      <c r="E75" s="410">
        <v>32.557192000000001</v>
      </c>
      <c r="F75" s="417">
        <v>5457.8876668799994</v>
      </c>
      <c r="G75" s="441">
        <f>D75+79.97</f>
        <v>247.60999999999999</v>
      </c>
      <c r="H75" s="442">
        <v>8061.4211967360006</v>
      </c>
      <c r="I75" s="459">
        <v>79.97</v>
      </c>
      <c r="J75" s="450">
        <v>2603.5329999999999</v>
      </c>
      <c r="K75" s="463"/>
      <c r="L75" s="462"/>
      <c r="M75" s="473">
        <f t="shared" si="21"/>
        <v>0</v>
      </c>
      <c r="N75" s="799">
        <f t="shared" si="23"/>
        <v>1</v>
      </c>
      <c r="O75" s="387">
        <f>J75/H75</f>
        <v>0.32296203565869352</v>
      </c>
      <c r="P75" s="474"/>
      <c r="Q75" s="801"/>
      <c r="R75" s="474"/>
      <c r="S75" s="474"/>
      <c r="T75" s="474"/>
      <c r="U75" s="474"/>
      <c r="V75" s="474"/>
      <c r="W75" s="474"/>
    </row>
    <row r="76" spans="1:23" s="378" customFormat="1" ht="15.75">
      <c r="A76" s="396"/>
      <c r="B76" s="385" t="s">
        <v>480</v>
      </c>
      <c r="C76" s="389"/>
      <c r="D76" s="426"/>
      <c r="E76" s="414"/>
      <c r="F76" s="435">
        <f>SUM(F73:F75)</f>
        <v>20577.873390848003</v>
      </c>
      <c r="G76" s="448"/>
      <c r="H76" s="443">
        <f>SUM(H73:H75)</f>
        <v>36877.635082704008</v>
      </c>
      <c r="I76" s="457">
        <f>G76+E76</f>
        <v>0</v>
      </c>
      <c r="J76" s="457">
        <f>SUM(J73:J75)</f>
        <v>10500.135817999999</v>
      </c>
      <c r="K76" s="457">
        <f>I76+G76</f>
        <v>0</v>
      </c>
      <c r="L76" s="457">
        <f>SUM(L73:L75)</f>
        <v>0</v>
      </c>
      <c r="M76" s="470">
        <f>SUM(M73:M75)</f>
        <v>0</v>
      </c>
      <c r="N76" s="471">
        <f t="shared" si="23"/>
        <v>1</v>
      </c>
      <c r="O76" s="387">
        <f>M76/H76</f>
        <v>0</v>
      </c>
      <c r="P76" s="475"/>
      <c r="Q76" s="802">
        <f>H76-F76</f>
        <v>16299.761691856005</v>
      </c>
      <c r="R76" s="475"/>
      <c r="S76" s="475"/>
      <c r="T76" s="475"/>
      <c r="U76" s="475"/>
      <c r="V76" s="475"/>
      <c r="W76" s="475"/>
    </row>
    <row r="77" spans="1:23" s="379" customFormat="1" ht="15.75">
      <c r="A77" s="388" t="str">
        <f>[1]OBSOLETO!A46</f>
        <v xml:space="preserve"> 10 </v>
      </c>
      <c r="B77" s="376" t="str">
        <f>[1]OBSOLETO!C46</f>
        <v>FORRAÇÃO</v>
      </c>
      <c r="C77" s="419"/>
      <c r="D77" s="425"/>
      <c r="E77" s="412"/>
      <c r="F77" s="433"/>
      <c r="G77" s="438"/>
      <c r="H77" s="439"/>
      <c r="I77" s="452"/>
      <c r="J77" s="452"/>
      <c r="K77" s="452"/>
      <c r="L77" s="452"/>
      <c r="M77" s="437"/>
      <c r="N77" s="437"/>
      <c r="O77" s="378"/>
      <c r="P77" s="474"/>
      <c r="Q77" s="801"/>
      <c r="R77" s="474"/>
      <c r="S77" s="474"/>
      <c r="T77" s="474"/>
      <c r="U77" s="474"/>
      <c r="V77" s="474"/>
      <c r="W77" s="474"/>
    </row>
    <row r="78" spans="1:23" s="383" customFormat="1" ht="31.5">
      <c r="A78" s="380" t="str">
        <f>[1]OBSOLETO!A47</f>
        <v xml:space="preserve"> 10.1 </v>
      </c>
      <c r="B78" s="390" t="str">
        <f>[1]OBSOLETO!C47</f>
        <v>FORRO EM RÉGUAS DE PVC, FRISADO, PARA AMBIENTES COMERCIAIS, INCLUSIVE ESTRUTURA DE FIXAÇÃO. AF_05/2017_P</v>
      </c>
      <c r="C78" s="382" t="s">
        <v>300</v>
      </c>
      <c r="D78" s="418">
        <v>55.22</v>
      </c>
      <c r="E78" s="410">
        <v>38.846372000000002</v>
      </c>
      <c r="F78" s="417">
        <v>2145.0966618400003</v>
      </c>
      <c r="G78" s="429">
        <v>55.22</v>
      </c>
      <c r="H78" s="430">
        <v>2145.0966618400003</v>
      </c>
      <c r="I78" s="449"/>
      <c r="J78" s="450">
        <f t="shared" ref="J78" si="24">I78*E78</f>
        <v>0</v>
      </c>
      <c r="K78" s="461"/>
      <c r="L78" s="462"/>
      <c r="M78" s="468">
        <v>0</v>
      </c>
      <c r="N78" s="469">
        <f>ROUND(H78/(J78+F78),2)</f>
        <v>1</v>
      </c>
      <c r="O78" s="378"/>
      <c r="P78" s="474"/>
      <c r="Q78" s="801"/>
      <c r="R78" s="474"/>
      <c r="S78" s="474"/>
      <c r="T78" s="474"/>
      <c r="U78" s="474"/>
      <c r="V78" s="474"/>
      <c r="W78" s="474"/>
    </row>
    <row r="79" spans="1:23" s="378" customFormat="1" ht="15.75">
      <c r="A79" s="396"/>
      <c r="B79" s="385" t="s">
        <v>481</v>
      </c>
      <c r="C79" s="389"/>
      <c r="D79" s="426"/>
      <c r="E79" s="414"/>
      <c r="F79" s="435">
        <f>SUM(F78:F78)</f>
        <v>2145.0966618400003</v>
      </c>
      <c r="G79" s="448"/>
      <c r="H79" s="443">
        <f>H78</f>
        <v>2145.0966618400003</v>
      </c>
      <c r="I79" s="457">
        <f>G79+E79</f>
        <v>0</v>
      </c>
      <c r="J79" s="457">
        <f>SUM(J78:J78)</f>
        <v>0</v>
      </c>
      <c r="K79" s="457">
        <f>I79+G79</f>
        <v>0</v>
      </c>
      <c r="L79" s="457">
        <f>SUM(L78:L78)</f>
        <v>0</v>
      </c>
      <c r="M79" s="470">
        <f>SUM(M78:M78)</f>
        <v>0</v>
      </c>
      <c r="N79" s="471">
        <f>ROUND(H79/F79,2)</f>
        <v>1</v>
      </c>
      <c r="O79" s="387">
        <f>L79/F79</f>
        <v>0</v>
      </c>
      <c r="P79" s="475"/>
      <c r="Q79" s="802">
        <f>H79-F79</f>
        <v>0</v>
      </c>
      <c r="R79" s="475"/>
      <c r="S79" s="475"/>
      <c r="T79" s="475"/>
      <c r="U79" s="475"/>
      <c r="V79" s="475"/>
      <c r="W79" s="475"/>
    </row>
    <row r="80" spans="1:23" s="379" customFormat="1" ht="15.75">
      <c r="A80" s="388" t="str">
        <f>[1]OBSOLETO!A48</f>
        <v xml:space="preserve"> 11 </v>
      </c>
      <c r="B80" s="376" t="str">
        <f>[1]OBSOLETO!C48</f>
        <v>CALÇADAS/PISOS</v>
      </c>
      <c r="C80" s="419"/>
      <c r="D80" s="425"/>
      <c r="E80" s="412"/>
      <c r="F80" s="433"/>
      <c r="G80" s="438"/>
      <c r="H80" s="439"/>
      <c r="I80" s="452"/>
      <c r="J80" s="452"/>
      <c r="K80" s="452"/>
      <c r="L80" s="452"/>
      <c r="M80" s="437"/>
      <c r="N80" s="437"/>
      <c r="O80" s="378"/>
      <c r="P80" s="474"/>
      <c r="Q80" s="801"/>
      <c r="R80" s="474"/>
      <c r="S80" s="474"/>
      <c r="T80" s="474"/>
      <c r="U80" s="474"/>
      <c r="V80" s="474"/>
      <c r="W80" s="474"/>
    </row>
    <row r="81" spans="1:23" s="383" customFormat="1" ht="47.25">
      <c r="A81" s="380" t="s">
        <v>242</v>
      </c>
      <c r="B81" s="390" t="str">
        <f>[1]OBSOLETO!C49</f>
        <v>EXECUÇÃO DE PASSEIO (CALÇADA) OU PISO DE CONCRETO COM CONCRETO MOLDADO IN LOCO, USINADO, ACABAMENTO CONVENCIONAL, NÃO ARMADO, INCLUSO JUNTAS DE DILATAÇÃO. AF_07/2016</v>
      </c>
      <c r="C81" s="382" t="s">
        <v>73</v>
      </c>
      <c r="D81" s="418">
        <v>58.51</v>
      </c>
      <c r="E81" s="410">
        <v>85.838148000000018</v>
      </c>
      <c r="F81" s="417">
        <v>5022.3900394800012</v>
      </c>
      <c r="G81" s="429">
        <v>58.51</v>
      </c>
      <c r="H81" s="430">
        <v>5022.3900394800012</v>
      </c>
      <c r="I81" s="459"/>
      <c r="J81" s="450">
        <f t="shared" ref="J81:J85" si="25">I81*E81</f>
        <v>0</v>
      </c>
      <c r="K81" s="463"/>
      <c r="L81" s="464"/>
      <c r="M81" s="473">
        <f t="shared" ref="M81:M85" si="26">L81</f>
        <v>0</v>
      </c>
      <c r="N81" s="469">
        <f>ROUND(H81/(J81+F81),2)</f>
        <v>1</v>
      </c>
      <c r="O81" s="378"/>
      <c r="P81" s="474"/>
      <c r="Q81" s="801"/>
      <c r="R81" s="474"/>
      <c r="S81" s="474"/>
      <c r="T81" s="474"/>
      <c r="U81" s="474"/>
      <c r="V81" s="474"/>
      <c r="W81" s="474"/>
    </row>
    <row r="82" spans="1:23" s="383" customFormat="1" ht="31.5">
      <c r="A82" s="380" t="s">
        <v>394</v>
      </c>
      <c r="B82" s="390" t="str">
        <f>[1]OBSOLETO!C50</f>
        <v>FORNECIMENTO E INSTALAÇÃO DE PISO TÁTIL, DIRECIONAL (AMARELO)  OU ALERTA (VERDE) 20X20 CM E = 2 CM</v>
      </c>
      <c r="C82" s="382" t="s">
        <v>300</v>
      </c>
      <c r="D82" s="418">
        <v>261.89999999999998</v>
      </c>
      <c r="E82" s="410">
        <v>75.965478720000007</v>
      </c>
      <c r="F82" s="417">
        <v>19895.358876768001</v>
      </c>
      <c r="G82" s="441">
        <f>261.9+40</f>
        <v>301.89999999999998</v>
      </c>
      <c r="H82" s="442">
        <v>22933.978025568002</v>
      </c>
      <c r="I82" s="459">
        <v>40</v>
      </c>
      <c r="J82" s="450">
        <f t="shared" si="25"/>
        <v>3038.6191488000004</v>
      </c>
      <c r="K82" s="463"/>
      <c r="L82" s="462"/>
      <c r="M82" s="473">
        <f t="shared" si="26"/>
        <v>0</v>
      </c>
      <c r="N82" s="799">
        <f t="shared" ref="N82" si="27">ROUND(H82/H82,2)</f>
        <v>1</v>
      </c>
      <c r="O82" s="387">
        <f>J82/H82</f>
        <v>0.13249420337860218</v>
      </c>
      <c r="P82" s="474"/>
      <c r="Q82" s="801"/>
      <c r="R82" s="474"/>
      <c r="S82" s="474"/>
      <c r="T82" s="474"/>
      <c r="U82" s="474"/>
      <c r="V82" s="474"/>
      <c r="W82" s="474"/>
    </row>
    <row r="83" spans="1:23" s="383" customFormat="1" ht="31.5">
      <c r="A83" s="380" t="s">
        <v>395</v>
      </c>
      <c r="B83" s="390" t="str">
        <f>[1]OBSOLETO!C51</f>
        <v>PISO CIMENTADO, TRAÇO 1:3 (CIMENTO E AREIA), ACABAMENTO LISO, ESPESSURA 2,0 CM, PREPARO MECÂNICO DA ARGAMASSA. AF_06/2018</v>
      </c>
      <c r="C83" s="382" t="s">
        <v>300</v>
      </c>
      <c r="D83" s="418">
        <v>3382.27</v>
      </c>
      <c r="E83" s="410">
        <v>27.806724000000003</v>
      </c>
      <c r="F83" s="417">
        <v>94049.848383480014</v>
      </c>
      <c r="G83" s="429">
        <v>3382.27</v>
      </c>
      <c r="H83" s="430">
        <v>94049.848383480014</v>
      </c>
      <c r="I83" s="449"/>
      <c r="J83" s="450">
        <f t="shared" si="25"/>
        <v>0</v>
      </c>
      <c r="K83" s="461"/>
      <c r="L83" s="465"/>
      <c r="M83" s="473">
        <f t="shared" si="26"/>
        <v>0</v>
      </c>
      <c r="N83" s="469">
        <f>ROUND(H83/(J83+F83),2)</f>
        <v>1</v>
      </c>
      <c r="O83" s="387"/>
      <c r="P83" s="474"/>
      <c r="Q83" s="801"/>
      <c r="R83" s="474"/>
      <c r="S83" s="474"/>
      <c r="T83" s="474"/>
      <c r="U83" s="474"/>
      <c r="V83" s="474"/>
      <c r="W83" s="474"/>
    </row>
    <row r="84" spans="1:23" s="383" customFormat="1" ht="47.25">
      <c r="A84" s="380" t="s">
        <v>396</v>
      </c>
      <c r="B84" s="409" t="s">
        <v>333</v>
      </c>
      <c r="C84" s="382" t="s">
        <v>300</v>
      </c>
      <c r="D84" s="418" t="s">
        <v>496</v>
      </c>
      <c r="E84" s="410">
        <v>48.277649017322041</v>
      </c>
      <c r="F84" s="417">
        <v>0</v>
      </c>
      <c r="G84" s="444">
        <v>504.53</v>
      </c>
      <c r="H84" s="445">
        <v>24357.280870464401</v>
      </c>
      <c r="I84" s="449">
        <v>504.53</v>
      </c>
      <c r="J84" s="450">
        <v>24357.280870464401</v>
      </c>
      <c r="K84" s="461"/>
      <c r="L84" s="462"/>
      <c r="M84" s="473">
        <f t="shared" si="26"/>
        <v>0</v>
      </c>
      <c r="N84" s="799">
        <f>ROUND(J84/H84,2)</f>
        <v>1</v>
      </c>
      <c r="O84" s="387">
        <f>J84/H84</f>
        <v>1</v>
      </c>
      <c r="P84" s="474"/>
      <c r="Q84" s="801"/>
      <c r="R84" s="474"/>
      <c r="S84" s="474"/>
      <c r="T84" s="474"/>
      <c r="U84" s="474"/>
      <c r="V84" s="474"/>
      <c r="W84" s="474"/>
    </row>
    <row r="85" spans="1:23" s="383" customFormat="1" ht="47.25">
      <c r="A85" s="380" t="s">
        <v>397</v>
      </c>
      <c r="B85" s="409" t="s">
        <v>348</v>
      </c>
      <c r="C85" s="382" t="s">
        <v>73</v>
      </c>
      <c r="D85" s="418" t="s">
        <v>496</v>
      </c>
      <c r="E85" s="410">
        <v>510.24576741001727</v>
      </c>
      <c r="F85" s="417">
        <v>0</v>
      </c>
      <c r="G85" s="444">
        <v>31.6</v>
      </c>
      <c r="H85" s="445">
        <v>16121.215021319495</v>
      </c>
      <c r="I85" s="449">
        <v>31.6</v>
      </c>
      <c r="J85" s="450">
        <v>16121.215021319495</v>
      </c>
      <c r="K85" s="461"/>
      <c r="L85" s="462"/>
      <c r="M85" s="473">
        <f t="shared" si="26"/>
        <v>0</v>
      </c>
      <c r="N85" s="799">
        <f>ROUND(J85/H85,2)</f>
        <v>1</v>
      </c>
      <c r="O85" s="387">
        <f>J85/H85</f>
        <v>1</v>
      </c>
      <c r="P85" s="474"/>
      <c r="Q85" s="801"/>
      <c r="R85" s="474"/>
      <c r="S85" s="474"/>
      <c r="T85" s="474"/>
      <c r="U85" s="474"/>
      <c r="V85" s="474"/>
      <c r="W85" s="474"/>
    </row>
    <row r="86" spans="1:23" s="378" customFormat="1" ht="15.75">
      <c r="A86" s="396"/>
      <c r="B86" s="385" t="s">
        <v>482</v>
      </c>
      <c r="C86" s="389"/>
      <c r="D86" s="426"/>
      <c r="E86" s="410"/>
      <c r="F86" s="435">
        <f>SUM(F81:F85)</f>
        <v>118967.59729972802</v>
      </c>
      <c r="G86" s="447"/>
      <c r="H86" s="440">
        <f>SUM(H81:H85)</f>
        <v>162484.7123403119</v>
      </c>
      <c r="I86" s="455">
        <f>G86+E86</f>
        <v>0</v>
      </c>
      <c r="J86" s="455">
        <f>SUM(J81:J85)</f>
        <v>43517.1150405839</v>
      </c>
      <c r="K86" s="455">
        <f>I86+G86</f>
        <v>0</v>
      </c>
      <c r="L86" s="455">
        <f>SUM(L81:L85)</f>
        <v>0</v>
      </c>
      <c r="M86" s="470">
        <f>SUM(M81:M85)</f>
        <v>0</v>
      </c>
      <c r="N86" s="471">
        <f>ROUND(H86/(J86+F86),2)</f>
        <v>1</v>
      </c>
      <c r="O86" s="387">
        <f>M86/H86</f>
        <v>0</v>
      </c>
      <c r="P86" s="475"/>
      <c r="Q86" s="802">
        <f>H86-F86</f>
        <v>43517.115040583885</v>
      </c>
      <c r="R86" s="475"/>
      <c r="S86" s="475"/>
      <c r="T86" s="475"/>
      <c r="U86" s="475"/>
      <c r="V86" s="475"/>
      <c r="W86" s="475"/>
    </row>
    <row r="87" spans="1:23" s="379" customFormat="1" ht="15.75">
      <c r="A87" s="388" t="str">
        <f>[1]OBSOLETO!A52</f>
        <v xml:space="preserve"> 12 </v>
      </c>
      <c r="B87" s="376" t="str">
        <f>[1]OBSOLETO!C52</f>
        <v>COBERTURA</v>
      </c>
      <c r="C87" s="419"/>
      <c r="D87" s="425"/>
      <c r="E87" s="412"/>
      <c r="F87" s="433"/>
      <c r="G87" s="438"/>
      <c r="H87" s="439"/>
      <c r="I87" s="452"/>
      <c r="J87" s="452"/>
      <c r="K87" s="452"/>
      <c r="L87" s="452"/>
      <c r="M87" s="437"/>
      <c r="N87" s="437"/>
      <c r="O87" s="378"/>
      <c r="P87" s="474"/>
      <c r="Q87" s="801"/>
      <c r="R87" s="474"/>
      <c r="S87" s="474"/>
      <c r="T87" s="474"/>
      <c r="U87" s="474"/>
      <c r="V87" s="474"/>
      <c r="W87" s="474"/>
    </row>
    <row r="88" spans="1:23" s="383" customFormat="1" ht="31.5">
      <c r="A88" s="380" t="str">
        <f>[1]OBSOLETO!A53</f>
        <v xml:space="preserve"> 12.1 </v>
      </c>
      <c r="B88" s="390" t="str">
        <f>[1]OBSOLETO!C53</f>
        <v>INSTALAÇÃO DE TESOURA (INTEIRA OU MEIA), EM AÇO, PARA VÃOS MAIORES OU IGUAIS A 10,0 M E MENORES QUE 12,0 M, INCLUSO IÇAMENTO. AF_12/2015</v>
      </c>
      <c r="C88" s="382" t="s">
        <v>314</v>
      </c>
      <c r="D88" s="418">
        <v>7</v>
      </c>
      <c r="E88" s="410">
        <v>245.88862</v>
      </c>
      <c r="F88" s="417">
        <v>1721.2203400000001</v>
      </c>
      <c r="G88" s="429">
        <v>7</v>
      </c>
      <c r="H88" s="430">
        <v>1721.2203400000001</v>
      </c>
      <c r="I88" s="449"/>
      <c r="J88" s="450">
        <f t="shared" ref="J88:J91" si="28">I88*E88</f>
        <v>0</v>
      </c>
      <c r="K88" s="461"/>
      <c r="L88" s="462"/>
      <c r="M88" s="473">
        <f>L88</f>
        <v>0</v>
      </c>
      <c r="N88" s="469">
        <f t="shared" ref="N88:N91" si="29">ROUND(H88/H88,2)</f>
        <v>1</v>
      </c>
      <c r="O88" s="378"/>
      <c r="P88" s="474"/>
      <c r="Q88" s="801"/>
      <c r="R88" s="474"/>
      <c r="S88" s="474"/>
      <c r="T88" s="474"/>
      <c r="U88" s="474"/>
      <c r="V88" s="474"/>
      <c r="W88" s="474"/>
    </row>
    <row r="89" spans="1:23" s="383" customFormat="1" ht="47.25">
      <c r="A89" s="380" t="str">
        <f>[1]OBSOLETO!A54</f>
        <v xml:space="preserve"> 12.2 </v>
      </c>
      <c r="B89" s="408" t="str">
        <f>[1]OBSOLETO!C54</f>
        <v>TRAMA DE AÇO COMPOSTA POR TERÇAS PARA TELHADOS DE ATÉ 2 ÁGUAS PARA TELHA ONDULADA DE FIBROCIMENTO, METÁLICA, PLÁSTICA OU TERMOACÚSTICA, INCLUSO TRANSPORTE VERTICAL. AF_12/2015</v>
      </c>
      <c r="C89" s="382" t="s">
        <v>300</v>
      </c>
      <c r="D89" s="418">
        <v>498.37</v>
      </c>
      <c r="E89" s="410">
        <v>33.424244000000002</v>
      </c>
      <c r="F89" s="417">
        <v>16657.64048228</v>
      </c>
      <c r="G89" s="441">
        <f>498.37+35</f>
        <v>533.37</v>
      </c>
      <c r="H89" s="442">
        <v>17827.489022280002</v>
      </c>
      <c r="I89" s="449"/>
      <c r="J89" s="450">
        <f t="shared" si="28"/>
        <v>0</v>
      </c>
      <c r="K89" s="461"/>
      <c r="L89" s="462"/>
      <c r="M89" s="473">
        <f>L89</f>
        <v>0</v>
      </c>
      <c r="N89" s="469">
        <f t="shared" si="29"/>
        <v>1</v>
      </c>
      <c r="O89" s="378"/>
      <c r="P89" s="474"/>
      <c r="Q89" s="801"/>
      <c r="R89" s="474"/>
      <c r="S89" s="474"/>
      <c r="T89" s="474"/>
      <c r="U89" s="474"/>
      <c r="V89" s="474"/>
      <c r="W89" s="474"/>
    </row>
    <row r="90" spans="1:23" s="383" customFormat="1" ht="31.5">
      <c r="A90" s="380" t="str">
        <f>[1]OBSOLETO!A55</f>
        <v xml:space="preserve"> 12.3 </v>
      </c>
      <c r="B90" s="408" t="str">
        <f>[1]OBSOLETO!C55</f>
        <v>TELHAMENTO COM TELHA DE AÇO/ALUMÍNIO E = 0,5 MM, COM ATÉ 2 ÁGUAS, INCLUSO IÇAMENTO. AF_06/2016</v>
      </c>
      <c r="C90" s="382" t="s">
        <v>300</v>
      </c>
      <c r="D90" s="418">
        <v>656.83600000000001</v>
      </c>
      <c r="E90" s="410">
        <v>40.116420000000005</v>
      </c>
      <c r="F90" s="417">
        <v>26349.908847120005</v>
      </c>
      <c r="G90" s="441">
        <f>656.84+35</f>
        <v>691.84</v>
      </c>
      <c r="H90" s="442">
        <v>27753.983547120006</v>
      </c>
      <c r="I90" s="449"/>
      <c r="J90" s="450">
        <f t="shared" si="28"/>
        <v>0</v>
      </c>
      <c r="K90" s="461"/>
      <c r="L90" s="462"/>
      <c r="M90" s="473">
        <f>L90</f>
        <v>0</v>
      </c>
      <c r="N90" s="469">
        <f t="shared" si="29"/>
        <v>1</v>
      </c>
      <c r="O90" s="378"/>
      <c r="P90" s="474"/>
      <c r="Q90" s="801"/>
      <c r="R90" s="474"/>
      <c r="S90" s="474"/>
      <c r="T90" s="474"/>
      <c r="U90" s="474"/>
      <c r="V90" s="474"/>
      <c r="W90" s="474"/>
    </row>
    <row r="91" spans="1:23" s="383" customFormat="1" ht="15.75">
      <c r="A91" s="380" t="str">
        <f>[1]OBSOLETO!A56</f>
        <v xml:space="preserve"> 12.4 </v>
      </c>
      <c r="B91" s="390" t="str">
        <f>[1]OBSOLETO!C56</f>
        <v>ESTRUTURA METALICA EM ACO ESTRUTURAL PERFIL I 6 X 3 3/8</v>
      </c>
      <c r="C91" s="382" t="s">
        <v>263</v>
      </c>
      <c r="D91" s="418">
        <v>1232</v>
      </c>
      <c r="E91" s="410">
        <v>7.6325000000000003</v>
      </c>
      <c r="F91" s="417">
        <v>9403.24</v>
      </c>
      <c r="G91" s="429">
        <v>1232</v>
      </c>
      <c r="H91" s="430">
        <v>9403.24</v>
      </c>
      <c r="I91" s="449"/>
      <c r="J91" s="450">
        <f t="shared" si="28"/>
        <v>0</v>
      </c>
      <c r="K91" s="461"/>
      <c r="L91" s="462"/>
      <c r="M91" s="473">
        <f>L91</f>
        <v>0</v>
      </c>
      <c r="N91" s="469">
        <f t="shared" si="29"/>
        <v>1</v>
      </c>
      <c r="O91" s="378"/>
      <c r="P91" s="474"/>
      <c r="Q91" s="801"/>
      <c r="R91" s="474"/>
      <c r="S91" s="474"/>
      <c r="T91" s="474"/>
      <c r="U91" s="474"/>
      <c r="V91" s="474"/>
      <c r="W91" s="474"/>
    </row>
    <row r="92" spans="1:23" s="378" customFormat="1" ht="15.75">
      <c r="A92" s="396"/>
      <c r="B92" s="385" t="s">
        <v>483</v>
      </c>
      <c r="C92" s="389"/>
      <c r="D92" s="426"/>
      <c r="E92" s="414"/>
      <c r="F92" s="435">
        <f>SUM(F88:F91)</f>
        <v>54132.009669400002</v>
      </c>
      <c r="G92" s="447"/>
      <c r="H92" s="440">
        <f>SUM(H88:H91)</f>
        <v>56705.932909400006</v>
      </c>
      <c r="I92" s="455">
        <f>G92+E92</f>
        <v>0</v>
      </c>
      <c r="J92" s="455">
        <f>SUM(J88:J91)</f>
        <v>0</v>
      </c>
      <c r="K92" s="455">
        <f>I92+G92</f>
        <v>0</v>
      </c>
      <c r="L92" s="455">
        <f>SUM(L88:L91)</f>
        <v>0</v>
      </c>
      <c r="M92" s="470">
        <f>SUM(M88:M91)</f>
        <v>0</v>
      </c>
      <c r="N92" s="471">
        <f t="shared" ref="N89:N92" si="30">ROUND(H92/H92,2)</f>
        <v>1</v>
      </c>
      <c r="O92" s="387">
        <f>L92/F92</f>
        <v>0</v>
      </c>
      <c r="P92" s="475"/>
      <c r="Q92" s="802">
        <f>H92-F92</f>
        <v>2573.9232400000037</v>
      </c>
      <c r="R92" s="475"/>
      <c r="S92" s="475"/>
      <c r="T92" s="475"/>
      <c r="U92" s="475"/>
      <c r="V92" s="475"/>
      <c r="W92" s="475"/>
    </row>
    <row r="93" spans="1:23" s="379" customFormat="1" ht="15.75">
      <c r="A93" s="388" t="str">
        <f>[1]OBSOLETO!A57</f>
        <v xml:space="preserve"> 13 </v>
      </c>
      <c r="B93" s="376" t="str">
        <f>[1]OBSOLETO!C57</f>
        <v>SISTEMA PLUVIAL</v>
      </c>
      <c r="C93" s="419"/>
      <c r="D93" s="425"/>
      <c r="E93" s="412"/>
      <c r="F93" s="433"/>
      <c r="G93" s="438"/>
      <c r="H93" s="439"/>
      <c r="I93" s="452"/>
      <c r="J93" s="452"/>
      <c r="K93" s="452"/>
      <c r="L93" s="452"/>
      <c r="M93" s="437"/>
      <c r="N93" s="437"/>
      <c r="O93" s="378"/>
      <c r="P93" s="474"/>
      <c r="Q93" s="801"/>
      <c r="R93" s="474"/>
      <c r="S93" s="474"/>
      <c r="T93" s="474"/>
      <c r="U93" s="474"/>
      <c r="V93" s="474"/>
      <c r="W93" s="474"/>
    </row>
    <row r="94" spans="1:23" s="383" customFormat="1" ht="31.5">
      <c r="A94" s="380" t="s">
        <v>248</v>
      </c>
      <c r="B94" s="390" t="str">
        <f>[1]OBSOLETO!C58</f>
        <v>GRELHA DE FERRO FUNDIDO PARA CANALETA LARG = 55CM, FORNECIMENTO E ASSENTAMENTO</v>
      </c>
      <c r="C94" s="382" t="s">
        <v>262</v>
      </c>
      <c r="D94" s="418">
        <v>124</v>
      </c>
      <c r="E94" s="410">
        <v>209.11828800000004</v>
      </c>
      <c r="F94" s="417">
        <v>25930.667712000006</v>
      </c>
      <c r="G94" s="429">
        <v>124</v>
      </c>
      <c r="H94" s="430">
        <v>25930.667712000006</v>
      </c>
      <c r="I94" s="459"/>
      <c r="J94" s="450">
        <f t="shared" ref="J94:J97" si="31">I94*E94</f>
        <v>0</v>
      </c>
      <c r="K94" s="453"/>
      <c r="L94" s="465"/>
      <c r="M94" s="472">
        <f>L94</f>
        <v>0</v>
      </c>
      <c r="N94" s="469">
        <f>ROUND(H94/(J94+F94),2)</f>
        <v>1</v>
      </c>
      <c r="O94" s="378"/>
      <c r="P94" s="474"/>
      <c r="Q94" s="801"/>
      <c r="R94" s="474"/>
      <c r="S94" s="474"/>
      <c r="T94" s="474"/>
      <c r="U94" s="474"/>
      <c r="V94" s="474"/>
      <c r="W94" s="474"/>
    </row>
    <row r="95" spans="1:23" s="383" customFormat="1" ht="31.5">
      <c r="A95" s="380" t="s">
        <v>249</v>
      </c>
      <c r="B95" s="408" t="str">
        <f>[1]OBSOLETO!C59</f>
        <v>CALHA EM CHAPA DE AÇO GALVANIZADO NÚMERO 24, DESENVOLVIMENTO DE 33 CM, INCLUSO TRANSPORTE VERTICAL. AF_06/2016</v>
      </c>
      <c r="C95" s="382" t="s">
        <v>262</v>
      </c>
      <c r="D95" s="418">
        <v>50</v>
      </c>
      <c r="E95" s="410">
        <v>37.637384000000004</v>
      </c>
      <c r="F95" s="417">
        <v>1881.8692000000003</v>
      </c>
      <c r="G95" s="444">
        <f>50+75</f>
        <v>125</v>
      </c>
      <c r="H95" s="445">
        <v>4704.6730000000007</v>
      </c>
      <c r="I95" s="459"/>
      <c r="J95" s="450">
        <f t="shared" si="31"/>
        <v>0</v>
      </c>
      <c r="K95" s="466"/>
      <c r="L95" s="467"/>
      <c r="M95" s="473">
        <f>L95</f>
        <v>0</v>
      </c>
      <c r="N95" s="469">
        <f t="shared" ref="N95:N98" si="32">ROUND(H95/H95,2)</f>
        <v>1</v>
      </c>
      <c r="O95" s="378"/>
      <c r="P95" s="474"/>
      <c r="Q95" s="801"/>
      <c r="R95" s="474"/>
      <c r="S95" s="474"/>
      <c r="T95" s="474"/>
      <c r="U95" s="474"/>
      <c r="V95" s="474"/>
      <c r="W95" s="474"/>
    </row>
    <row r="96" spans="1:23" s="383" customFormat="1" ht="15.75">
      <c r="A96" s="380" t="s">
        <v>250</v>
      </c>
      <c r="B96" s="409" t="s">
        <v>349</v>
      </c>
      <c r="C96" s="382" t="s">
        <v>262</v>
      </c>
      <c r="D96" s="418" t="s">
        <v>496</v>
      </c>
      <c r="E96" s="410">
        <v>16.225520394176833</v>
      </c>
      <c r="F96" s="417">
        <v>0</v>
      </c>
      <c r="G96" s="444">
        <v>32</v>
      </c>
      <c r="H96" s="445">
        <v>519.21665261365865</v>
      </c>
      <c r="I96" s="459"/>
      <c r="J96" s="450">
        <f t="shared" si="31"/>
        <v>0</v>
      </c>
      <c r="K96" s="466"/>
      <c r="L96" s="467"/>
      <c r="M96" s="473"/>
      <c r="N96" s="469">
        <f t="shared" si="32"/>
        <v>1</v>
      </c>
      <c r="O96" s="378"/>
      <c r="P96" s="474"/>
      <c r="Q96" s="801"/>
      <c r="R96" s="474"/>
      <c r="S96" s="474"/>
      <c r="T96" s="474"/>
      <c r="U96" s="474"/>
      <c r="V96" s="474"/>
      <c r="W96" s="474"/>
    </row>
    <row r="97" spans="1:23" s="383" customFormat="1" ht="15.75">
      <c r="A97" s="380" t="s">
        <v>261</v>
      </c>
      <c r="B97" s="409" t="s">
        <v>350</v>
      </c>
      <c r="C97" s="382" t="s">
        <v>314</v>
      </c>
      <c r="D97" s="418" t="s">
        <v>496</v>
      </c>
      <c r="E97" s="410">
        <v>30.24310833906031</v>
      </c>
      <c r="F97" s="417">
        <v>0</v>
      </c>
      <c r="G97" s="444">
        <v>16</v>
      </c>
      <c r="H97" s="445">
        <v>483.88973342496496</v>
      </c>
      <c r="I97" s="459"/>
      <c r="J97" s="450">
        <f t="shared" si="31"/>
        <v>0</v>
      </c>
      <c r="K97" s="466"/>
      <c r="L97" s="467"/>
      <c r="M97" s="473"/>
      <c r="N97" s="469">
        <f t="shared" si="32"/>
        <v>1</v>
      </c>
      <c r="O97" s="378"/>
      <c r="P97" s="474"/>
      <c r="Q97" s="801"/>
      <c r="R97" s="474"/>
      <c r="S97" s="474"/>
      <c r="T97" s="474"/>
      <c r="U97" s="474"/>
      <c r="V97" s="474"/>
      <c r="W97" s="474"/>
    </row>
    <row r="98" spans="1:23" s="378" customFormat="1" ht="15.75">
      <c r="A98" s="396"/>
      <c r="B98" s="385" t="s">
        <v>484</v>
      </c>
      <c r="C98" s="389"/>
      <c r="D98" s="426"/>
      <c r="E98" s="414"/>
      <c r="F98" s="435">
        <f>SUM(F94:F97)</f>
        <v>27812.536912000007</v>
      </c>
      <c r="G98" s="447"/>
      <c r="H98" s="440">
        <f>SUM(H94:H97)</f>
        <v>31638.447098038625</v>
      </c>
      <c r="I98" s="455">
        <f>G98+E98</f>
        <v>0</v>
      </c>
      <c r="J98" s="455">
        <f>SUM(J94:J97)</f>
        <v>0</v>
      </c>
      <c r="K98" s="455">
        <f>I98+G98</f>
        <v>0</v>
      </c>
      <c r="L98" s="455">
        <f>SUM(L94:L97)</f>
        <v>0</v>
      </c>
      <c r="M98" s="470">
        <f>SUM(M94:M95)</f>
        <v>0</v>
      </c>
      <c r="N98" s="471">
        <f t="shared" si="32"/>
        <v>1</v>
      </c>
      <c r="O98" s="387">
        <f>L98/F98</f>
        <v>0</v>
      </c>
      <c r="P98" s="475"/>
      <c r="Q98" s="802">
        <f>H98-F98</f>
        <v>3825.9101860386181</v>
      </c>
      <c r="R98" s="475"/>
      <c r="S98" s="475"/>
      <c r="T98" s="475"/>
      <c r="U98" s="475"/>
      <c r="V98" s="475"/>
      <c r="W98" s="475"/>
    </row>
    <row r="99" spans="1:23" s="379" customFormat="1" ht="15.75">
      <c r="A99" s="388" t="str">
        <f>[1]OBSOLETO!A60</f>
        <v xml:space="preserve"> 14 </v>
      </c>
      <c r="B99" s="376" t="str">
        <f>[1]OBSOLETO!C60</f>
        <v>PORTÕES</v>
      </c>
      <c r="C99" s="419"/>
      <c r="D99" s="425"/>
      <c r="E99" s="412"/>
      <c r="F99" s="433"/>
      <c r="G99" s="438"/>
      <c r="H99" s="439"/>
      <c r="I99" s="452"/>
      <c r="J99" s="452"/>
      <c r="K99" s="452"/>
      <c r="L99" s="452"/>
      <c r="M99" s="437"/>
      <c r="N99" s="437"/>
      <c r="O99" s="378"/>
      <c r="P99" s="474"/>
      <c r="Q99" s="801"/>
      <c r="R99" s="474"/>
      <c r="S99" s="474"/>
      <c r="T99" s="474"/>
      <c r="U99" s="474"/>
      <c r="V99" s="474"/>
      <c r="W99" s="474"/>
    </row>
    <row r="100" spans="1:23" s="383" customFormat="1" ht="63">
      <c r="A100" s="380" t="str">
        <f>[1]OBSOLETO!A61</f>
        <v xml:space="preserve"> 14.1 </v>
      </c>
      <c r="B100" s="390" t="str">
        <f>[1]OBSOLETO!C61</f>
        <v>FORNECIMENTO E INSTALAÇÃO DE PORTÃO DE CORRER EM GRADIL FIXO DE BARRA UE FERRO CHATA DE 3X1/4" NA VERTICAL, ACABAMENTO NATURAL COM TRILHOS E ROLDANAS - INCLUSO PINTURA ANTICORROSIVA E ESMALTE SINTÉTICO DE ACABAMENTO</v>
      </c>
      <c r="C100" s="382" t="s">
        <v>300</v>
      </c>
      <c r="D100" s="418">
        <v>23.08</v>
      </c>
      <c r="E100" s="410">
        <v>653.10997199999997</v>
      </c>
      <c r="F100" s="417">
        <v>15073.778153759999</v>
      </c>
      <c r="G100" s="429">
        <v>23.08</v>
      </c>
      <c r="H100" s="430">
        <v>15073.778153759999</v>
      </c>
      <c r="I100" s="449"/>
      <c r="J100" s="450">
        <f t="shared" ref="J100" si="33">I100*E100</f>
        <v>0</v>
      </c>
      <c r="K100" s="453"/>
      <c r="L100" s="465"/>
      <c r="M100" s="472">
        <f>L100</f>
        <v>0</v>
      </c>
      <c r="N100" s="469">
        <f>ROUND(H100/(J100+F100),2)</f>
        <v>1</v>
      </c>
      <c r="O100" s="378"/>
      <c r="P100" s="474"/>
      <c r="Q100" s="801"/>
      <c r="R100" s="474"/>
      <c r="S100" s="474"/>
      <c r="T100" s="474"/>
      <c r="U100" s="474"/>
      <c r="V100" s="474"/>
      <c r="W100" s="474"/>
    </row>
    <row r="101" spans="1:23" s="378" customFormat="1" ht="15.75">
      <c r="A101" s="396"/>
      <c r="B101" s="385" t="s">
        <v>485</v>
      </c>
      <c r="C101" s="389"/>
      <c r="D101" s="426"/>
      <c r="E101" s="414"/>
      <c r="F101" s="435">
        <f>SUM(F100:F100)</f>
        <v>15073.778153759999</v>
      </c>
      <c r="G101" s="447"/>
      <c r="H101" s="440">
        <f>SUM(H100)</f>
        <v>15073.778153759999</v>
      </c>
      <c r="I101" s="455">
        <f>G101+E101</f>
        <v>0</v>
      </c>
      <c r="J101" s="455">
        <f>SUM(J100:J100)</f>
        <v>0</v>
      </c>
      <c r="K101" s="455">
        <f>I101+G101</f>
        <v>0</v>
      </c>
      <c r="L101" s="455">
        <f>SUM(L100:L100)</f>
        <v>0</v>
      </c>
      <c r="M101" s="470">
        <f>SUM(M100:M100)</f>
        <v>0</v>
      </c>
      <c r="N101" s="471">
        <f>ROUND(H101/F101,2)</f>
        <v>1</v>
      </c>
      <c r="O101" s="387">
        <f>L101/F101</f>
        <v>0</v>
      </c>
      <c r="P101" s="475"/>
      <c r="Q101" s="802"/>
      <c r="R101" s="475"/>
      <c r="S101" s="475"/>
      <c r="T101" s="475"/>
      <c r="U101" s="475"/>
      <c r="V101" s="475"/>
      <c r="W101" s="475"/>
    </row>
    <row r="102" spans="1:23" s="379" customFormat="1" ht="15.75">
      <c r="A102" s="388" t="str">
        <f>[1]OBSOLETO!A62</f>
        <v xml:space="preserve"> 15 </v>
      </c>
      <c r="B102" s="376" t="str">
        <f>[1]OBSOLETO!C62</f>
        <v>JARDIM</v>
      </c>
      <c r="C102" s="419"/>
      <c r="D102" s="425"/>
      <c r="E102" s="412"/>
      <c r="F102" s="433"/>
      <c r="G102" s="438"/>
      <c r="H102" s="439"/>
      <c r="I102" s="452"/>
      <c r="J102" s="452"/>
      <c r="K102" s="452"/>
      <c r="L102" s="452"/>
      <c r="M102" s="437"/>
      <c r="N102" s="437"/>
      <c r="O102" s="378"/>
      <c r="P102" s="474"/>
      <c r="Q102" s="801"/>
      <c r="R102" s="474"/>
      <c r="S102" s="474"/>
      <c r="T102" s="474"/>
      <c r="U102" s="474"/>
      <c r="V102" s="474"/>
      <c r="W102" s="474"/>
    </row>
    <row r="103" spans="1:23" s="383" customFormat="1" ht="23.25" customHeight="1">
      <c r="A103" s="380" t="str">
        <f>[1]OBSOLETO!A63</f>
        <v xml:space="preserve"> 15.1 </v>
      </c>
      <c r="B103" s="381" t="str">
        <f>[1]OBSOLETO!C63</f>
        <v>PLANTIO DE GRAMA ESMERALDA EM ROLO</v>
      </c>
      <c r="C103" s="382" t="s">
        <v>300</v>
      </c>
      <c r="D103" s="418">
        <v>51.74</v>
      </c>
      <c r="E103" s="410">
        <v>11.454856000000001</v>
      </c>
      <c r="F103" s="417">
        <v>592.67424944000004</v>
      </c>
      <c r="G103" s="429">
        <v>51.74</v>
      </c>
      <c r="H103" s="430">
        <v>592.67424944000004</v>
      </c>
      <c r="I103" s="460"/>
      <c r="J103" s="450">
        <f t="shared" ref="J103" si="34">I103*E103</f>
        <v>0</v>
      </c>
      <c r="K103" s="466"/>
      <c r="L103" s="467"/>
      <c r="M103" s="473">
        <f>L103</f>
        <v>0</v>
      </c>
      <c r="N103" s="469">
        <f>ROUND(H103/(J103+F103),2)</f>
        <v>1</v>
      </c>
      <c r="O103" s="378"/>
      <c r="P103" s="474"/>
      <c r="Q103" s="801"/>
      <c r="R103" s="474"/>
      <c r="S103" s="474"/>
      <c r="T103" s="474"/>
      <c r="U103" s="474"/>
      <c r="V103" s="474"/>
      <c r="W103" s="474"/>
    </row>
    <row r="104" spans="1:23" s="378" customFormat="1" ht="15.75">
      <c r="A104" s="396"/>
      <c r="B104" s="385" t="s">
        <v>486</v>
      </c>
      <c r="C104" s="389"/>
      <c r="D104" s="426"/>
      <c r="E104" s="420"/>
      <c r="F104" s="435">
        <f>SUM(F103)</f>
        <v>592.67424944000004</v>
      </c>
      <c r="G104" s="447"/>
      <c r="H104" s="440">
        <f>(H103)</f>
        <v>592.67424944000004</v>
      </c>
      <c r="I104" s="455">
        <f>G104+E104</f>
        <v>0</v>
      </c>
      <c r="J104" s="455">
        <f>SUM(J103:J103)</f>
        <v>0</v>
      </c>
      <c r="K104" s="455">
        <f>I104+G104</f>
        <v>0</v>
      </c>
      <c r="L104" s="455">
        <f>SUM(L103:L103)</f>
        <v>0</v>
      </c>
      <c r="M104" s="470">
        <f>SUM(M103)</f>
        <v>0</v>
      </c>
      <c r="N104" s="471">
        <f>ROUND(H104/F104,2)</f>
        <v>1</v>
      </c>
      <c r="O104" s="387">
        <f>L104/F104</f>
        <v>0</v>
      </c>
      <c r="P104" s="475"/>
      <c r="Q104" s="802"/>
      <c r="R104" s="475"/>
      <c r="S104" s="475"/>
      <c r="T104" s="475"/>
      <c r="U104" s="475"/>
      <c r="V104" s="475"/>
      <c r="W104" s="475"/>
    </row>
    <row r="105" spans="1:23" s="378" customFormat="1" ht="26.25" customHeight="1">
      <c r="A105" s="680"/>
      <c r="B105" s="681"/>
      <c r="C105" s="681"/>
      <c r="D105" s="681"/>
      <c r="E105" s="681"/>
      <c r="F105" s="681"/>
      <c r="G105" s="681"/>
      <c r="H105" s="681"/>
      <c r="I105" s="681"/>
      <c r="J105" s="681"/>
      <c r="K105" s="681"/>
      <c r="L105" s="681"/>
      <c r="M105" s="681"/>
      <c r="N105" s="681"/>
      <c r="P105" s="475"/>
      <c r="Q105" s="802"/>
      <c r="R105" s="475"/>
      <c r="S105" s="475"/>
      <c r="T105" s="475"/>
      <c r="U105" s="475"/>
      <c r="V105" s="475"/>
      <c r="W105" s="475"/>
    </row>
    <row r="106" spans="1:23" ht="32.25" customHeight="1">
      <c r="A106" s="680"/>
      <c r="B106" s="681"/>
      <c r="C106" s="705" t="s">
        <v>487</v>
      </c>
      <c r="D106" s="705"/>
      <c r="E106" s="705"/>
      <c r="F106" s="397">
        <f>SUM(F19,F22,F25,F35,F54,F62,F67,F71,F76,F79,F86,F92,F98,F101,F104)+0.02</f>
        <v>300389.76557586406</v>
      </c>
      <c r="G106" s="706">
        <f>SUM(H19,H22,H25,H35,H54,H62,H67,H71,H76,H79,H86,H92,H98,H101,H104)</f>
        <v>414171.72400150693</v>
      </c>
      <c r="H106" s="707"/>
      <c r="I106" s="706">
        <f>SUM(J19,J25,J35,J54,J62,J67,J71,J76,J79,J86,J92,J98,J101,J104)</f>
        <v>54017.250858583895</v>
      </c>
      <c r="J106" s="707"/>
      <c r="K106" s="706">
        <f>SUM(L19,L22,L25,L35,L54,L62,L67,L71,L76,L79,L86,L92,L98,L101,L104)</f>
        <v>0</v>
      </c>
      <c r="L106" s="707"/>
      <c r="M106" s="397">
        <f>SUM(M19,M22,M25,M35,M54,M62,M67,M71,M76,M79,M86,M92,M98,M101,M104)</f>
        <v>0</v>
      </c>
      <c r="N106" s="398"/>
      <c r="O106" s="293"/>
      <c r="P106" s="477"/>
      <c r="Q106" s="804">
        <f>SUM(Q19:Q104)</f>
        <v>113781.97842564282</v>
      </c>
      <c r="R106" s="191"/>
      <c r="S106" s="191"/>
      <c r="T106" s="191"/>
      <c r="U106" s="191"/>
      <c r="V106" s="191"/>
      <c r="W106" s="191"/>
    </row>
    <row r="107" spans="1:23" ht="34.5" customHeight="1">
      <c r="A107" s="680"/>
      <c r="B107" s="681"/>
      <c r="C107" s="682" t="s">
        <v>488</v>
      </c>
      <c r="D107" s="682"/>
      <c r="E107" s="682"/>
      <c r="F107" s="400">
        <v>1</v>
      </c>
      <c r="G107" s="683">
        <f>G106/F106</f>
        <v>1.3787810753389567</v>
      </c>
      <c r="H107" s="683">
        <f>G106/F106</f>
        <v>1.3787810753389567</v>
      </c>
      <c r="I107" s="683">
        <f>I106/F106</f>
        <v>0.17982387234475111</v>
      </c>
      <c r="J107" s="683">
        <f>I106/F106</f>
        <v>0.17982387234475111</v>
      </c>
      <c r="K107" s="683">
        <f>K106/F106</f>
        <v>0</v>
      </c>
      <c r="L107" s="683">
        <f>K106/F106</f>
        <v>0</v>
      </c>
      <c r="M107" s="400">
        <f>M106/F106</f>
        <v>0</v>
      </c>
      <c r="N107" s="398"/>
      <c r="O107" s="800"/>
      <c r="P107" s="478"/>
      <c r="Q107" s="804">
        <f>G106-Q106</f>
        <v>300389.7455758641</v>
      </c>
      <c r="R107" s="191"/>
      <c r="S107" s="191"/>
      <c r="T107" s="191"/>
      <c r="U107" s="191"/>
      <c r="V107" s="191"/>
      <c r="W107" s="191"/>
    </row>
    <row r="108" spans="1:23" ht="27.75" customHeight="1">
      <c r="A108" s="672"/>
      <c r="B108" s="673"/>
      <c r="C108" s="673"/>
      <c r="D108" s="673"/>
      <c r="E108" s="673"/>
      <c r="F108" s="673"/>
      <c r="G108" s="673"/>
      <c r="H108" s="673"/>
      <c r="I108" s="673"/>
      <c r="J108" s="673"/>
      <c r="K108" s="673"/>
      <c r="L108" s="673"/>
      <c r="M108" s="673"/>
      <c r="N108" s="673"/>
      <c r="O108" s="293"/>
      <c r="P108" s="191"/>
      <c r="Q108" s="349"/>
      <c r="R108" s="191"/>
      <c r="S108" s="191"/>
      <c r="T108" s="191"/>
      <c r="U108" s="191"/>
      <c r="V108" s="191"/>
      <c r="W108" s="191"/>
    </row>
    <row r="109" spans="1:23" ht="24" customHeight="1">
      <c r="A109" s="684" t="s">
        <v>89</v>
      </c>
      <c r="B109" s="402" t="s">
        <v>90</v>
      </c>
      <c r="C109" s="685" t="s">
        <v>489</v>
      </c>
      <c r="D109" s="685"/>
      <c r="E109" s="685"/>
      <c r="F109" s="685"/>
      <c r="G109" s="685"/>
      <c r="H109" s="685"/>
      <c r="I109" s="685"/>
      <c r="J109" s="685"/>
      <c r="K109" s="685" t="s">
        <v>92</v>
      </c>
      <c r="L109" s="685"/>
      <c r="M109" s="685"/>
      <c r="N109" s="685"/>
      <c r="O109" s="401"/>
      <c r="P109" s="191"/>
      <c r="Q109" s="804">
        <f>G106-F106</f>
        <v>113781.95842564286</v>
      </c>
      <c r="R109" s="191"/>
      <c r="S109" s="191"/>
      <c r="T109" s="191"/>
      <c r="U109" s="191"/>
      <c r="V109" s="191"/>
      <c r="W109" s="191"/>
    </row>
    <row r="110" spans="1:23" ht="114" customHeight="1">
      <c r="A110" s="684"/>
      <c r="B110" s="403" t="s">
        <v>93</v>
      </c>
      <c r="C110" s="686" t="s">
        <v>94</v>
      </c>
      <c r="D110" s="687"/>
      <c r="E110" s="687"/>
      <c r="F110" s="687"/>
      <c r="G110" s="687"/>
      <c r="H110" s="687"/>
      <c r="I110" s="687"/>
      <c r="J110" s="688"/>
      <c r="K110" s="686" t="s">
        <v>490</v>
      </c>
      <c r="L110" s="687"/>
      <c r="M110" s="687"/>
      <c r="N110" s="688"/>
      <c r="O110" s="399"/>
      <c r="P110" s="191"/>
      <c r="Q110" s="349"/>
      <c r="R110" s="191"/>
      <c r="S110" s="191"/>
      <c r="T110" s="191"/>
      <c r="U110" s="191"/>
      <c r="V110" s="191"/>
      <c r="W110" s="191"/>
    </row>
    <row r="111" spans="1:23" ht="14.25" customHeight="1">
      <c r="A111" s="684"/>
      <c r="B111" s="689" t="s">
        <v>491</v>
      </c>
      <c r="C111" s="692" t="s">
        <v>492</v>
      </c>
      <c r="D111" s="693"/>
      <c r="E111" s="693"/>
      <c r="F111" s="693"/>
      <c r="G111" s="693"/>
      <c r="H111" s="693"/>
      <c r="I111" s="693"/>
      <c r="J111" s="694"/>
      <c r="K111" s="692" t="s">
        <v>493</v>
      </c>
      <c r="L111" s="699"/>
      <c r="M111" s="699"/>
      <c r="N111" s="700"/>
      <c r="O111" s="399"/>
      <c r="P111" s="191"/>
      <c r="Q111" s="349"/>
      <c r="R111" s="191"/>
      <c r="S111" s="191"/>
      <c r="T111" s="191"/>
      <c r="U111" s="191"/>
      <c r="V111" s="191"/>
      <c r="W111" s="191"/>
    </row>
    <row r="112" spans="1:23">
      <c r="A112" s="684"/>
      <c r="B112" s="690"/>
      <c r="C112" s="695"/>
      <c r="D112" s="693"/>
      <c r="E112" s="693"/>
      <c r="F112" s="693"/>
      <c r="G112" s="693"/>
      <c r="H112" s="693"/>
      <c r="I112" s="693"/>
      <c r="J112" s="694"/>
      <c r="K112" s="692"/>
      <c r="L112" s="699"/>
      <c r="M112" s="699"/>
      <c r="N112" s="700"/>
      <c r="O112" s="399"/>
      <c r="P112" s="191"/>
      <c r="Q112" s="349"/>
      <c r="R112" s="191"/>
      <c r="S112" s="191"/>
      <c r="T112" s="191"/>
      <c r="U112" s="191"/>
      <c r="V112" s="191"/>
      <c r="W112" s="191"/>
    </row>
    <row r="113" spans="1:23">
      <c r="A113" s="684"/>
      <c r="B113" s="690"/>
      <c r="C113" s="695"/>
      <c r="D113" s="693"/>
      <c r="E113" s="693"/>
      <c r="F113" s="693"/>
      <c r="G113" s="693"/>
      <c r="H113" s="693"/>
      <c r="I113" s="693"/>
      <c r="J113" s="694"/>
      <c r="K113" s="692"/>
      <c r="L113" s="699"/>
      <c r="M113" s="699"/>
      <c r="N113" s="700"/>
      <c r="O113" s="399"/>
      <c r="P113" s="191"/>
      <c r="Q113" s="349"/>
      <c r="R113" s="191"/>
      <c r="S113" s="191"/>
      <c r="T113" s="191"/>
      <c r="U113" s="191"/>
      <c r="V113" s="191"/>
      <c r="W113" s="191"/>
    </row>
    <row r="114" spans="1:23" ht="32.25" customHeight="1">
      <c r="A114" s="684"/>
      <c r="B114" s="691"/>
      <c r="C114" s="696"/>
      <c r="D114" s="697"/>
      <c r="E114" s="697"/>
      <c r="F114" s="697"/>
      <c r="G114" s="697"/>
      <c r="H114" s="697"/>
      <c r="I114" s="697"/>
      <c r="J114" s="698"/>
      <c r="K114" s="701"/>
      <c r="L114" s="702"/>
      <c r="M114" s="702"/>
      <c r="N114" s="703"/>
      <c r="P114" s="191"/>
      <c r="Q114" s="349"/>
      <c r="R114" s="191"/>
      <c r="S114" s="191"/>
      <c r="T114" s="191"/>
      <c r="U114" s="191"/>
      <c r="V114" s="191"/>
      <c r="W114" s="191"/>
    </row>
    <row r="115" spans="1:23" ht="16.5" customHeight="1">
      <c r="A115" s="676"/>
      <c r="B115" s="670"/>
      <c r="C115" s="670"/>
      <c r="D115" s="670"/>
      <c r="E115" s="670"/>
      <c r="F115" s="670"/>
      <c r="G115" s="670"/>
      <c r="H115" s="670"/>
      <c r="I115" s="670"/>
      <c r="J115" s="670"/>
      <c r="K115" s="670"/>
      <c r="L115" s="670"/>
      <c r="M115" s="670"/>
      <c r="N115" s="671"/>
      <c r="P115" s="191"/>
      <c r="Q115" s="349"/>
      <c r="R115" s="191"/>
      <c r="S115" s="191"/>
      <c r="T115" s="191"/>
      <c r="U115" s="191"/>
      <c r="V115" s="191"/>
      <c r="W115" s="191"/>
    </row>
    <row r="116" spans="1:23" ht="63" customHeight="1">
      <c r="A116" s="404"/>
      <c r="B116" s="677" t="s">
        <v>494</v>
      </c>
      <c r="C116" s="677"/>
      <c r="D116" s="677"/>
      <c r="E116" s="677"/>
      <c r="F116" s="677"/>
      <c r="G116" s="678">
        <f>I106</f>
        <v>54017.250858583895</v>
      </c>
      <c r="H116" s="678"/>
      <c r="I116" s="678"/>
      <c r="J116" s="678"/>
      <c r="K116" s="679">
        <f>G116/F106</f>
        <v>0.17982387234475111</v>
      </c>
      <c r="L116" s="679"/>
      <c r="M116" s="679"/>
      <c r="N116" s="679"/>
      <c r="O116" s="405"/>
      <c r="P116" s="191"/>
      <c r="Q116" s="349"/>
      <c r="R116" s="191"/>
      <c r="S116" s="191"/>
      <c r="T116" s="191"/>
      <c r="U116" s="191"/>
      <c r="V116" s="191"/>
      <c r="W116" s="191"/>
    </row>
    <row r="117" spans="1:23" ht="24" customHeight="1">
      <c r="A117" s="669"/>
      <c r="B117" s="670"/>
      <c r="C117" s="670"/>
      <c r="D117" s="670"/>
      <c r="E117" s="670"/>
      <c r="F117" s="670"/>
      <c r="G117" s="670"/>
      <c r="H117" s="670"/>
      <c r="I117" s="670"/>
      <c r="J117" s="670"/>
      <c r="K117" s="670"/>
      <c r="L117" s="670"/>
      <c r="M117" s="670"/>
      <c r="N117" s="671"/>
      <c r="P117" s="191"/>
      <c r="Q117" s="349"/>
      <c r="R117" s="191"/>
      <c r="S117" s="191"/>
      <c r="T117" s="191"/>
      <c r="U117" s="191"/>
      <c r="V117" s="191"/>
      <c r="W117" s="191"/>
    </row>
    <row r="119" spans="1:23">
      <c r="G119" s="399"/>
      <c r="J119" s="399">
        <f>I106+K106</f>
        <v>54017.250858583895</v>
      </c>
      <c r="K119" s="399">
        <f>J119-J122</f>
        <v>-59764.727567058944</v>
      </c>
    </row>
    <row r="120" spans="1:23">
      <c r="E120" s="399"/>
      <c r="G120" s="399"/>
    </row>
    <row r="121" spans="1:23" ht="26.25" customHeight="1">
      <c r="D121" s="3">
        <v>59764.727037202902</v>
      </c>
      <c r="G121" s="399"/>
      <c r="J121" s="293">
        <v>300389.76557586406</v>
      </c>
      <c r="K121" s="236">
        <v>1</v>
      </c>
    </row>
    <row r="122" spans="1:23" ht="19.5" customHeight="1">
      <c r="G122" s="399" t="s">
        <v>42</v>
      </c>
      <c r="J122" s="293">
        <v>113781.97842564284</v>
      </c>
      <c r="K122" s="236">
        <v>0.37878114191912093</v>
      </c>
    </row>
    <row r="123" spans="1:23">
      <c r="G123" s="399" t="s">
        <v>41</v>
      </c>
      <c r="J123" s="293">
        <v>0</v>
      </c>
      <c r="K123" s="236">
        <v>0</v>
      </c>
    </row>
    <row r="124" spans="1:23">
      <c r="G124" s="13" t="s">
        <v>109</v>
      </c>
      <c r="J124" s="293">
        <v>414171.72400150693</v>
      </c>
      <c r="K124" s="236">
        <v>1.3787810753389567</v>
      </c>
    </row>
    <row r="125" spans="1:23">
      <c r="J125" s="16">
        <f>J124-G106</f>
        <v>0</v>
      </c>
    </row>
    <row r="126" spans="1:23">
      <c r="G126" s="293"/>
    </row>
    <row r="127" spans="1:23">
      <c r="G127" s="293"/>
    </row>
    <row r="128" spans="1:23">
      <c r="G128" s="293"/>
    </row>
    <row r="131" spans="7:7">
      <c r="G131" s="293"/>
    </row>
    <row r="132" spans="7:7">
      <c r="G132" s="407"/>
    </row>
  </sheetData>
  <mergeCells count="56">
    <mergeCell ref="O1:O13"/>
    <mergeCell ref="B5:E5"/>
    <mergeCell ref="G5:J6"/>
    <mergeCell ref="K5:K6"/>
    <mergeCell ref="L5:M6"/>
    <mergeCell ref="N5:N8"/>
    <mergeCell ref="B6:E6"/>
    <mergeCell ref="B7:E7"/>
    <mergeCell ref="G7:H7"/>
    <mergeCell ref="B8:E8"/>
    <mergeCell ref="G8:M8"/>
    <mergeCell ref="A10:N10"/>
    <mergeCell ref="A11:N11"/>
    <mergeCell ref="A1:N4"/>
    <mergeCell ref="F13:F15"/>
    <mergeCell ref="G13:N13"/>
    <mergeCell ref="D13:D15"/>
    <mergeCell ref="E13:E15"/>
    <mergeCell ref="G14:H14"/>
    <mergeCell ref="I7:J7"/>
    <mergeCell ref="K7:M7"/>
    <mergeCell ref="K14:L14"/>
    <mergeCell ref="M14:M15"/>
    <mergeCell ref="B9:N9"/>
    <mergeCell ref="K110:N110"/>
    <mergeCell ref="B111:B114"/>
    <mergeCell ref="C111:J114"/>
    <mergeCell ref="K111:N114"/>
    <mergeCell ref="N14:N15"/>
    <mergeCell ref="A105:N105"/>
    <mergeCell ref="A106:B106"/>
    <mergeCell ref="C106:E106"/>
    <mergeCell ref="G106:H106"/>
    <mergeCell ref="I106:J106"/>
    <mergeCell ref="K106:L106"/>
    <mergeCell ref="A12:A15"/>
    <mergeCell ref="B12:B15"/>
    <mergeCell ref="C12:F12"/>
    <mergeCell ref="G12:N12"/>
    <mergeCell ref="C13:C15"/>
    <mergeCell ref="A117:N117"/>
    <mergeCell ref="A108:N108"/>
    <mergeCell ref="I14:J14"/>
    <mergeCell ref="A115:N115"/>
    <mergeCell ref="B116:F116"/>
    <mergeCell ref="G116:J116"/>
    <mergeCell ref="K116:N116"/>
    <mergeCell ref="A107:B107"/>
    <mergeCell ref="C107:E107"/>
    <mergeCell ref="G107:H107"/>
    <mergeCell ref="I107:J107"/>
    <mergeCell ref="K107:L107"/>
    <mergeCell ref="A109:A114"/>
    <mergeCell ref="C109:J109"/>
    <mergeCell ref="K109:N109"/>
    <mergeCell ref="C110:J110"/>
  </mergeCells>
  <phoneticPr fontId="67" type="noConversion"/>
  <pageMargins left="0.51181102362204722" right="0.51181102362204722" top="0.78740157480314965" bottom="0.78740157480314965" header="0.31496062992125984" footer="0.31496062992125984"/>
  <pageSetup paperSize="9" scale="39" orientation="landscape" r:id="rId1"/>
  <headerFooter>
    <oddHeader>&amp;A</oddHeader>
    <oddFooter>Página &amp;P de &amp;N</oddFooter>
  </headerFooter>
  <rowBreaks count="4" manualBreakCount="4">
    <brk id="35" max="13" man="1"/>
    <brk id="54" max="13" man="1"/>
    <brk id="71" max="13" man="1"/>
    <brk id="98" max="1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A3C98-9B90-464D-A45F-31CD85C903C4}">
  <dimension ref="A1:L27"/>
  <sheetViews>
    <sheetView tabSelected="1" view="pageBreakPreview" zoomScaleNormal="100" zoomScaleSheetLayoutView="100" workbookViewId="0">
      <selection activeCell="C5" sqref="C5:D5"/>
    </sheetView>
  </sheetViews>
  <sheetFormatPr defaultRowHeight="15"/>
  <cols>
    <col min="1" max="1" width="16.5703125" style="13" bestFit="1" customWidth="1"/>
    <col min="2" max="2" width="77.42578125" style="13" customWidth="1"/>
    <col min="3" max="3" width="28.42578125" style="13" customWidth="1"/>
    <col min="4" max="4" width="35.42578125" style="13" customWidth="1"/>
    <col min="5" max="5" width="16.140625" style="51" bestFit="1" customWidth="1"/>
    <col min="6" max="7" width="16.140625" style="51" customWidth="1"/>
    <col min="8" max="8" width="12.140625" style="51" bestFit="1" customWidth="1"/>
    <col min="9" max="9" width="11.7109375" style="51" bestFit="1" customWidth="1"/>
    <col min="10" max="12" width="9.140625" style="51"/>
    <col min="13" max="16384" width="9.140625" style="13"/>
  </cols>
  <sheetData>
    <row r="1" spans="1:12" ht="20.25">
      <c r="A1" s="479" t="s">
        <v>501</v>
      </c>
      <c r="B1" s="765"/>
      <c r="C1" s="768" t="s">
        <v>519</v>
      </c>
      <c r="D1" s="769"/>
    </row>
    <row r="2" spans="1:12" ht="20.25">
      <c r="A2" s="480"/>
      <c r="B2" s="766"/>
      <c r="C2" s="768" t="s">
        <v>502</v>
      </c>
      <c r="D2" s="769"/>
    </row>
    <row r="3" spans="1:12" ht="51" customHeight="1">
      <c r="A3" s="481"/>
      <c r="B3" s="767"/>
      <c r="C3" s="482">
        <v>44102</v>
      </c>
      <c r="D3" s="483">
        <v>44132</v>
      </c>
    </row>
    <row r="4" spans="1:12" ht="24" customHeight="1">
      <c r="A4" s="497" t="s">
        <v>445</v>
      </c>
      <c r="B4" s="499" t="s">
        <v>446</v>
      </c>
      <c r="C4" s="770" t="str">
        <f>'[1]BOLETIM DE MEDIÇÃO'!G7</f>
        <v>Contrato N.º : 172/2018</v>
      </c>
      <c r="D4" s="771"/>
    </row>
    <row r="5" spans="1:12" ht="18" customHeight="1">
      <c r="A5" s="497" t="s">
        <v>503</v>
      </c>
      <c r="B5" s="500" t="s">
        <v>504</v>
      </c>
      <c r="C5" s="770" t="str">
        <f>'[1]BOLETIM DE MEDIÇÃO'!I7</f>
        <v>Licitação: 039/2019</v>
      </c>
      <c r="D5" s="771"/>
    </row>
    <row r="6" spans="1:12" ht="15.75">
      <c r="A6" s="497" t="s">
        <v>505</v>
      </c>
      <c r="B6" s="500" t="s">
        <v>161</v>
      </c>
      <c r="C6" s="772" t="str">
        <f>'[1]BOLETIM DE MEDIÇÃO'!K7</f>
        <v>Tomada de Preços: 006/2019</v>
      </c>
      <c r="D6" s="773"/>
    </row>
    <row r="7" spans="1:12" ht="30" customHeight="1">
      <c r="A7" s="497" t="s">
        <v>457</v>
      </c>
      <c r="B7" s="498" t="s">
        <v>458</v>
      </c>
      <c r="C7" s="774" t="s">
        <v>516</v>
      </c>
      <c r="D7" s="775"/>
    </row>
    <row r="8" spans="1:12" ht="30" customHeight="1">
      <c r="A8" s="497" t="s">
        <v>499</v>
      </c>
      <c r="B8" s="498" t="s">
        <v>495</v>
      </c>
      <c r="C8" s="776"/>
      <c r="D8" s="777"/>
    </row>
    <row r="9" spans="1:12" s="487" customFormat="1" ht="20.25">
      <c r="A9" s="484"/>
      <c r="B9" s="485" t="s">
        <v>506</v>
      </c>
      <c r="C9" s="485" t="s">
        <v>507</v>
      </c>
      <c r="D9" s="485" t="s">
        <v>10</v>
      </c>
      <c r="E9" s="495" t="s">
        <v>507</v>
      </c>
      <c r="F9" s="495" t="s">
        <v>514</v>
      </c>
      <c r="G9" s="495" t="s">
        <v>515</v>
      </c>
      <c r="H9" s="486"/>
      <c r="I9" s="486"/>
      <c r="J9" s="486"/>
      <c r="K9" s="486"/>
      <c r="L9" s="486"/>
    </row>
    <row r="10" spans="1:12" s="489" customFormat="1">
      <c r="A10" s="488">
        <v>1</v>
      </c>
      <c r="B10" s="492" t="s">
        <v>508</v>
      </c>
      <c r="C10" s="493" t="s">
        <v>496</v>
      </c>
      <c r="D10" s="494"/>
      <c r="E10" s="496">
        <v>7329.9843360000004</v>
      </c>
      <c r="F10" s="496">
        <v>7329.9843360000004</v>
      </c>
      <c r="G10" s="496">
        <f>E10-F10</f>
        <v>0</v>
      </c>
      <c r="H10" s="51"/>
      <c r="I10" s="51"/>
      <c r="J10" s="51"/>
      <c r="K10" s="51"/>
      <c r="L10" s="51"/>
    </row>
    <row r="11" spans="1:12">
      <c r="A11" s="488">
        <v>2</v>
      </c>
      <c r="B11" s="492" t="s">
        <v>509</v>
      </c>
      <c r="C11" s="493" t="s">
        <v>496</v>
      </c>
      <c r="D11" s="494"/>
      <c r="E11" s="496">
        <v>529.56116800000007</v>
      </c>
      <c r="F11" s="496">
        <v>529.56116800000007</v>
      </c>
      <c r="G11" s="496">
        <f t="shared" ref="G11:G24" si="0">E11-F11</f>
        <v>0</v>
      </c>
    </row>
    <row r="12" spans="1:12" ht="14.25" customHeight="1">
      <c r="A12" s="488">
        <v>3</v>
      </c>
      <c r="B12" s="492" t="s">
        <v>510</v>
      </c>
      <c r="C12" s="493" t="s">
        <v>496</v>
      </c>
      <c r="D12" s="494"/>
      <c r="E12" s="496">
        <v>22091.959844000001</v>
      </c>
      <c r="F12" s="496">
        <v>22091.959844000001</v>
      </c>
      <c r="G12" s="496">
        <f t="shared" si="0"/>
        <v>0</v>
      </c>
    </row>
    <row r="13" spans="1:12">
      <c r="A13" s="488">
        <v>4</v>
      </c>
      <c r="B13" s="492" t="s">
        <v>511</v>
      </c>
      <c r="C13" s="493" t="s">
        <v>496</v>
      </c>
      <c r="D13" s="494"/>
      <c r="E13" s="496">
        <v>17002.583485927578</v>
      </c>
      <c r="F13" s="496">
        <v>8180.1600847199998</v>
      </c>
      <c r="G13" s="496">
        <f t="shared" si="0"/>
        <v>8822.4234012075794</v>
      </c>
    </row>
    <row r="14" spans="1:12" s="489" customFormat="1">
      <c r="A14" s="488">
        <v>5</v>
      </c>
      <c r="B14" s="492" t="s">
        <v>179</v>
      </c>
      <c r="C14" s="493" t="s">
        <v>496</v>
      </c>
      <c r="D14" s="494"/>
      <c r="E14" s="496">
        <v>14294.542096104351</v>
      </c>
      <c r="F14" s="496">
        <v>11627.059121679998</v>
      </c>
      <c r="G14" s="496">
        <f t="shared" si="0"/>
        <v>2667.4829744243525</v>
      </c>
      <c r="H14" s="51"/>
      <c r="I14" s="51"/>
      <c r="J14" s="51"/>
      <c r="K14" s="51"/>
      <c r="L14" s="51"/>
    </row>
    <row r="15" spans="1:12" s="489" customFormat="1">
      <c r="A15" s="488">
        <v>6</v>
      </c>
      <c r="B15" s="492" t="s">
        <v>192</v>
      </c>
      <c r="C15" s="493" t="s">
        <v>496</v>
      </c>
      <c r="D15" s="494"/>
      <c r="E15" s="496">
        <v>9658.2902195323859</v>
      </c>
      <c r="F15" s="496">
        <v>2570.3817600000007</v>
      </c>
      <c r="G15" s="496">
        <f t="shared" si="0"/>
        <v>7087.9084595323857</v>
      </c>
      <c r="H15" s="51"/>
      <c r="I15" s="51"/>
      <c r="J15" s="51"/>
      <c r="K15" s="51"/>
      <c r="L15" s="51"/>
    </row>
    <row r="16" spans="1:12">
      <c r="A16" s="488">
        <v>7</v>
      </c>
      <c r="B16" s="492" t="s">
        <v>201</v>
      </c>
      <c r="C16" s="493" t="s">
        <v>496</v>
      </c>
      <c r="D16" s="494"/>
      <c r="E16" s="496">
        <v>12504.655499807999</v>
      </c>
      <c r="F16" s="496">
        <v>1695.533423808</v>
      </c>
      <c r="G16" s="496">
        <f t="shared" si="0"/>
        <v>10809.122076</v>
      </c>
    </row>
    <row r="17" spans="1:12" s="489" customFormat="1">
      <c r="A17" s="488">
        <v>8</v>
      </c>
      <c r="B17" s="492" t="s">
        <v>512</v>
      </c>
      <c r="C17" s="493" t="s">
        <v>496</v>
      </c>
      <c r="D17" s="494"/>
      <c r="E17" s="496">
        <v>25241.870856640002</v>
      </c>
      <c r="F17" s="496">
        <v>7063.5395006400013</v>
      </c>
      <c r="G17" s="496">
        <f t="shared" si="0"/>
        <v>18178.331356000002</v>
      </c>
      <c r="H17" s="51"/>
      <c r="I17" s="51"/>
      <c r="J17" s="51"/>
      <c r="K17" s="51"/>
      <c r="L17" s="51"/>
    </row>
    <row r="18" spans="1:12">
      <c r="A18" s="488">
        <v>9</v>
      </c>
      <c r="B18" s="492" t="s">
        <v>208</v>
      </c>
      <c r="C18" s="493">
        <f>'MEDIÇÃO BM06'!J76</f>
        <v>10500.135817999999</v>
      </c>
      <c r="D18" s="494">
        <f t="shared" ref="D10:D24" si="1">C18/G18</f>
        <v>0.64418952966939846</v>
      </c>
      <c r="E18" s="496">
        <v>36877.635082704008</v>
      </c>
      <c r="F18" s="496">
        <v>20577.873390848003</v>
      </c>
      <c r="G18" s="496">
        <f t="shared" si="0"/>
        <v>16299.761691856005</v>
      </c>
      <c r="H18" s="345">
        <v>5799.63</v>
      </c>
      <c r="I18" s="805">
        <f>C18+H18</f>
        <v>16299.765818</v>
      </c>
    </row>
    <row r="19" spans="1:12" s="489" customFormat="1">
      <c r="A19" s="488">
        <v>10</v>
      </c>
      <c r="B19" s="492" t="s">
        <v>212</v>
      </c>
      <c r="C19" s="493" t="s">
        <v>496</v>
      </c>
      <c r="D19" s="494"/>
      <c r="E19" s="496">
        <v>2145.0966618400003</v>
      </c>
      <c r="F19" s="496">
        <v>2145.0966618400003</v>
      </c>
      <c r="G19" s="496">
        <f t="shared" si="0"/>
        <v>0</v>
      </c>
      <c r="H19" s="51"/>
      <c r="I19" s="51"/>
      <c r="J19" s="51"/>
      <c r="K19" s="51"/>
      <c r="L19" s="51"/>
    </row>
    <row r="20" spans="1:12" s="489" customFormat="1">
      <c r="A20" s="488">
        <v>11</v>
      </c>
      <c r="B20" s="492" t="s">
        <v>214</v>
      </c>
      <c r="C20" s="493">
        <f>'MEDIÇÃO BM06'!J86</f>
        <v>43517.1150405839</v>
      </c>
      <c r="D20" s="494">
        <f t="shared" si="1"/>
        <v>1.0000000000000004</v>
      </c>
      <c r="E20" s="496">
        <v>162484.7123403119</v>
      </c>
      <c r="F20" s="496">
        <v>118967.59729972802</v>
      </c>
      <c r="G20" s="496">
        <f t="shared" si="0"/>
        <v>43517.115040583885</v>
      </c>
      <c r="H20" s="51"/>
      <c r="I20" s="51"/>
      <c r="J20" s="51"/>
      <c r="K20" s="51"/>
      <c r="L20" s="51"/>
    </row>
    <row r="21" spans="1:12" s="489" customFormat="1">
      <c r="A21" s="488">
        <v>12</v>
      </c>
      <c r="B21" s="492" t="s">
        <v>218</v>
      </c>
      <c r="C21" s="493" t="s">
        <v>496</v>
      </c>
      <c r="D21" s="494"/>
      <c r="E21" s="496">
        <v>56705.932909400006</v>
      </c>
      <c r="F21" s="496">
        <v>54132.009669400002</v>
      </c>
      <c r="G21" s="496">
        <f t="shared" si="0"/>
        <v>2573.9232400000037</v>
      </c>
      <c r="H21" s="51"/>
      <c r="I21" s="51"/>
      <c r="J21" s="51"/>
      <c r="K21" s="51"/>
      <c r="L21" s="51"/>
    </row>
    <row r="22" spans="1:12">
      <c r="A22" s="488">
        <v>13</v>
      </c>
      <c r="B22" s="492" t="s">
        <v>223</v>
      </c>
      <c r="C22" s="493" t="s">
        <v>496</v>
      </c>
      <c r="D22" s="494"/>
      <c r="E22" s="496">
        <v>31638.447098038625</v>
      </c>
      <c r="F22" s="496">
        <v>27812.536912000007</v>
      </c>
      <c r="G22" s="496">
        <f t="shared" si="0"/>
        <v>3825.9101860386181</v>
      </c>
    </row>
    <row r="23" spans="1:12">
      <c r="A23" s="488">
        <v>14</v>
      </c>
      <c r="B23" s="492" t="s">
        <v>226</v>
      </c>
      <c r="C23" s="493" t="s">
        <v>496</v>
      </c>
      <c r="D23" s="494"/>
      <c r="E23" s="496">
        <v>15073.778153759999</v>
      </c>
      <c r="F23" s="496">
        <v>15073.778153759999</v>
      </c>
      <c r="G23" s="496">
        <f t="shared" si="0"/>
        <v>0</v>
      </c>
    </row>
    <row r="24" spans="1:12">
      <c r="A24" s="488">
        <v>15</v>
      </c>
      <c r="B24" s="492" t="s">
        <v>228</v>
      </c>
      <c r="C24" s="493" t="s">
        <v>496</v>
      </c>
      <c r="D24" s="494"/>
      <c r="E24" s="496">
        <v>592.67424944000004</v>
      </c>
      <c r="F24" s="496">
        <v>592.67424944000004</v>
      </c>
      <c r="G24" s="496">
        <f t="shared" si="0"/>
        <v>0</v>
      </c>
    </row>
    <row r="25" spans="1:12" ht="26.25">
      <c r="B25" s="490" t="s">
        <v>513</v>
      </c>
      <c r="C25" s="764">
        <f>SUM(C10:C24)</f>
        <v>54017.250858583895</v>
      </c>
      <c r="D25" s="764"/>
      <c r="E25" s="345">
        <f>SUM(E10:E24)</f>
        <v>414171.72400150693</v>
      </c>
      <c r="F25" s="345">
        <f>SUM(F10:F24)</f>
        <v>300389.74557586404</v>
      </c>
      <c r="G25" s="345">
        <f>SUM(G10:G24)</f>
        <v>113781.97842564282</v>
      </c>
    </row>
    <row r="26" spans="1:12">
      <c r="D26" s="491"/>
    </row>
    <row r="27" spans="1:12">
      <c r="D27" s="491"/>
    </row>
  </sheetData>
  <mergeCells count="8">
    <mergeCell ref="C25:D25"/>
    <mergeCell ref="B1:B3"/>
    <mergeCell ref="C1:D1"/>
    <mergeCell ref="C2:D2"/>
    <mergeCell ref="C4:D4"/>
    <mergeCell ref="C5:D5"/>
    <mergeCell ref="C6:D6"/>
    <mergeCell ref="C7:D8"/>
  </mergeCells>
  <pageMargins left="0.9055118110236221" right="0.51181102362204722" top="1.9685039370078741" bottom="0.78740157480314965" header="0.31496062992125984" footer="0.31496062992125984"/>
  <pageSetup paperSize="9"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42"/>
  <sheetViews>
    <sheetView view="pageBreakPreview" zoomScaleNormal="100" zoomScaleSheetLayoutView="100" workbookViewId="0">
      <selection activeCell="F18" sqref="F18"/>
    </sheetView>
  </sheetViews>
  <sheetFormatPr defaultRowHeight="15"/>
  <cols>
    <col min="2" max="2" width="12.28515625" bestFit="1" customWidth="1"/>
    <col min="3" max="3" width="10.7109375" customWidth="1"/>
    <col min="4" max="4" width="67.5703125" customWidth="1"/>
    <col min="5" max="5" width="11.42578125" customWidth="1"/>
    <col min="6" max="6" width="14.42578125" customWidth="1"/>
    <col min="7" max="7" width="14.5703125" customWidth="1"/>
    <col min="8" max="8" width="14.7109375" customWidth="1"/>
    <col min="14" max="14" width="10.7109375" bestFit="1" customWidth="1"/>
  </cols>
  <sheetData>
    <row r="2" spans="1:14">
      <c r="A2" s="781"/>
      <c r="B2" s="782"/>
      <c r="C2" s="782"/>
      <c r="D2" s="782"/>
      <c r="E2" s="782"/>
      <c r="F2" s="782"/>
      <c r="G2" s="782"/>
      <c r="H2" s="783"/>
    </row>
    <row r="3" spans="1:14">
      <c r="A3" s="784"/>
      <c r="B3" s="785"/>
      <c r="C3" s="785"/>
      <c r="D3" s="785"/>
      <c r="E3" s="785"/>
      <c r="F3" s="785"/>
      <c r="G3" s="785"/>
      <c r="H3" s="786"/>
    </row>
    <row r="4" spans="1:14">
      <c r="A4" s="784"/>
      <c r="B4" s="785"/>
      <c r="C4" s="785"/>
      <c r="D4" s="785"/>
      <c r="E4" s="785"/>
      <c r="F4" s="785"/>
      <c r="G4" s="785"/>
      <c r="H4" s="786"/>
    </row>
    <row r="5" spans="1:14">
      <c r="A5" s="784"/>
      <c r="B5" s="785"/>
      <c r="C5" s="785"/>
      <c r="D5" s="785"/>
      <c r="E5" s="785"/>
      <c r="F5" s="785"/>
      <c r="G5" s="785"/>
      <c r="H5" s="786"/>
    </row>
    <row r="6" spans="1:14">
      <c r="A6" s="787"/>
      <c r="B6" s="788"/>
      <c r="C6" s="788"/>
      <c r="D6" s="788"/>
      <c r="E6" s="788"/>
      <c r="F6" s="788"/>
      <c r="G6" s="788"/>
      <c r="H6" s="789"/>
    </row>
    <row r="7" spans="1:14" ht="18.75">
      <c r="A7" s="790" t="s">
        <v>53</v>
      </c>
      <c r="B7" s="791"/>
      <c r="C7" s="791"/>
      <c r="D7" s="791"/>
      <c r="E7" s="791"/>
      <c r="F7" s="791"/>
      <c r="G7" s="791"/>
      <c r="H7" s="792"/>
    </row>
    <row r="8" spans="1:14">
      <c r="A8" s="793" t="s">
        <v>88</v>
      </c>
      <c r="B8" s="5"/>
      <c r="C8" s="5"/>
      <c r="D8" s="6" t="s">
        <v>54</v>
      </c>
      <c r="E8" s="6" t="s">
        <v>45</v>
      </c>
      <c r="F8" s="795" t="s">
        <v>55</v>
      </c>
      <c r="G8" s="796"/>
      <c r="H8" s="797"/>
    </row>
    <row r="9" spans="1:14" ht="25.5">
      <c r="A9" s="794"/>
      <c r="B9" s="7"/>
      <c r="C9" s="7" t="s">
        <v>56</v>
      </c>
      <c r="D9" s="8" t="s">
        <v>78</v>
      </c>
      <c r="E9" s="7" t="s">
        <v>73</v>
      </c>
      <c r="F9" s="7" t="s">
        <v>57</v>
      </c>
      <c r="G9" s="9" t="s">
        <v>58</v>
      </c>
      <c r="H9" s="9" t="s">
        <v>59</v>
      </c>
    </row>
    <row r="10" spans="1:14" ht="25.5">
      <c r="A10" s="794"/>
      <c r="B10" s="17" t="s">
        <v>69</v>
      </c>
      <c r="C10" s="18" t="s">
        <v>65</v>
      </c>
      <c r="D10" s="17" t="s">
        <v>61</v>
      </c>
      <c r="E10" s="18" t="s">
        <v>70</v>
      </c>
      <c r="F10" s="19" t="s">
        <v>74</v>
      </c>
      <c r="G10" s="12">
        <v>13.31</v>
      </c>
      <c r="H10" s="10">
        <f>ROUND(F10*G10,2)</f>
        <v>20.71</v>
      </c>
      <c r="N10" s="16">
        <f>H42*12</f>
        <v>133.92000000000002</v>
      </c>
    </row>
    <row r="11" spans="1:14" ht="25.5">
      <c r="A11" s="794"/>
      <c r="B11" s="17" t="s">
        <v>69</v>
      </c>
      <c r="C11" s="18" t="s">
        <v>66</v>
      </c>
      <c r="D11" s="17" t="s">
        <v>62</v>
      </c>
      <c r="E11" s="18" t="s">
        <v>71</v>
      </c>
      <c r="F11" s="19" t="s">
        <v>75</v>
      </c>
      <c r="G11" s="12">
        <v>12.21</v>
      </c>
      <c r="H11" s="10">
        <f>ROUND(F11*G11,2)</f>
        <v>5.39</v>
      </c>
    </row>
    <row r="12" spans="1:14">
      <c r="A12" s="794"/>
      <c r="B12" s="17" t="s">
        <v>69</v>
      </c>
      <c r="C12" s="18" t="s">
        <v>67</v>
      </c>
      <c r="D12" s="17" t="s">
        <v>63</v>
      </c>
      <c r="E12" s="18" t="s">
        <v>72</v>
      </c>
      <c r="F12" s="19" t="s">
        <v>76</v>
      </c>
      <c r="G12" s="12">
        <v>17.170000000000002</v>
      </c>
      <c r="H12" s="10">
        <f>ROUND(F12*G12,2)</f>
        <v>5.24</v>
      </c>
    </row>
    <row r="13" spans="1:14">
      <c r="A13" s="794"/>
      <c r="B13" s="17" t="s">
        <v>69</v>
      </c>
      <c r="C13" s="18" t="s">
        <v>68</v>
      </c>
      <c r="D13" s="17" t="s">
        <v>64</v>
      </c>
      <c r="E13" s="18" t="s">
        <v>72</v>
      </c>
      <c r="F13" s="19" t="s">
        <v>77</v>
      </c>
      <c r="G13" s="12">
        <v>13.69</v>
      </c>
      <c r="H13" s="10">
        <f>ROUND(F13*G13,2)</f>
        <v>43.16</v>
      </c>
    </row>
    <row r="14" spans="1:14">
      <c r="A14" s="778" t="s">
        <v>60</v>
      </c>
      <c r="B14" s="779"/>
      <c r="C14" s="779"/>
      <c r="D14" s="779"/>
      <c r="E14" s="779"/>
      <c r="F14" s="779"/>
      <c r="G14" s="780"/>
      <c r="H14" s="11">
        <f>SUM(H10:H13)</f>
        <v>74.5</v>
      </c>
    </row>
    <row r="17" s="13" customFormat="1"/>
    <row r="18" s="13" customFormat="1"/>
    <row r="19" s="13" customFormat="1"/>
    <row r="20" s="13" customFormat="1"/>
    <row r="21" s="13" customFormat="1"/>
    <row r="22" s="13" customFormat="1"/>
    <row r="23" s="13" customFormat="1"/>
    <row r="24" s="13" customFormat="1"/>
    <row r="25" s="13" customFormat="1"/>
    <row r="26" s="13" customFormat="1"/>
    <row r="27" s="13" customFormat="1"/>
    <row r="28" s="13" customFormat="1"/>
    <row r="29" s="13" customFormat="1"/>
    <row r="30" s="13" customFormat="1"/>
    <row r="31" s="13" customFormat="1"/>
    <row r="32" s="13" customFormat="1"/>
    <row r="33" spans="1:11" s="13" customFormat="1"/>
    <row r="34" spans="1:11" s="13" customFormat="1"/>
    <row r="35" spans="1:11" s="13" customFormat="1"/>
    <row r="36" spans="1:11" s="13" customFormat="1"/>
    <row r="37" spans="1:11" s="13" customFormat="1"/>
    <row r="38" spans="1:11" s="13" customFormat="1">
      <c r="A38" s="793" t="s">
        <v>79</v>
      </c>
      <c r="B38" s="5"/>
      <c r="C38" s="5"/>
      <c r="D38" s="6" t="s">
        <v>54</v>
      </c>
      <c r="E38" s="6" t="s">
        <v>45</v>
      </c>
      <c r="F38" s="795" t="s">
        <v>55</v>
      </c>
      <c r="G38" s="796"/>
      <c r="H38" s="797"/>
    </row>
    <row r="39" spans="1:11" s="13" customFormat="1" ht="25.5">
      <c r="A39" s="794"/>
      <c r="B39" s="7"/>
      <c r="C39" s="7" t="s">
        <v>56</v>
      </c>
      <c r="D39" s="17" t="s">
        <v>87</v>
      </c>
      <c r="E39" s="7" t="s">
        <v>73</v>
      </c>
      <c r="F39" s="7" t="s">
        <v>57</v>
      </c>
      <c r="G39" s="9" t="s">
        <v>58</v>
      </c>
      <c r="H39" s="9" t="s">
        <v>59</v>
      </c>
    </row>
    <row r="40" spans="1:11" s="13" customFormat="1" ht="29.25" customHeight="1">
      <c r="A40" s="794"/>
      <c r="B40" s="17" t="s">
        <v>86</v>
      </c>
      <c r="C40" s="20">
        <v>1</v>
      </c>
      <c r="D40" s="17" t="s">
        <v>82</v>
      </c>
      <c r="E40" s="18" t="s">
        <v>73</v>
      </c>
      <c r="F40" s="21">
        <v>1</v>
      </c>
      <c r="G40" s="12">
        <v>8.33</v>
      </c>
      <c r="H40" s="10">
        <f>ROUND(F40*G40,2)</f>
        <v>8.33</v>
      </c>
      <c r="J40" s="14" t="s">
        <v>85</v>
      </c>
      <c r="K40" s="15">
        <v>4746</v>
      </c>
    </row>
    <row r="41" spans="1:11" s="13" customFormat="1" ht="38.25">
      <c r="A41" s="794"/>
      <c r="B41" s="17" t="s">
        <v>69</v>
      </c>
      <c r="C41" s="18" t="s">
        <v>83</v>
      </c>
      <c r="D41" s="17" t="s">
        <v>84</v>
      </c>
      <c r="E41" s="18" t="s">
        <v>73</v>
      </c>
      <c r="F41" s="21">
        <v>1</v>
      </c>
      <c r="G41" s="12">
        <v>2.83</v>
      </c>
      <c r="H41" s="10">
        <f>ROUND(F41*G41,2)</f>
        <v>2.83</v>
      </c>
    </row>
    <row r="42" spans="1:11" s="13" customFormat="1">
      <c r="A42" s="778" t="s">
        <v>60</v>
      </c>
      <c r="B42" s="779"/>
      <c r="C42" s="779"/>
      <c r="D42" s="779"/>
      <c r="E42" s="779"/>
      <c r="F42" s="779"/>
      <c r="G42" s="780"/>
      <c r="H42" s="11">
        <f>SUM(H40:H41)</f>
        <v>11.16</v>
      </c>
    </row>
  </sheetData>
  <mergeCells count="8">
    <mergeCell ref="A42:G42"/>
    <mergeCell ref="A2:H6"/>
    <mergeCell ref="A7:H7"/>
    <mergeCell ref="A8:A13"/>
    <mergeCell ref="F8:H8"/>
    <mergeCell ref="A14:G14"/>
    <mergeCell ref="A38:A41"/>
    <mergeCell ref="F38:H38"/>
  </mergeCells>
  <conditionalFormatting sqref="A8 B9:F9">
    <cfRule type="expression" dxfId="7" priority="15" stopIfTrue="1">
      <formula>AND(#REF!&lt;&gt;"COMPOSICAO",#REF!&lt;&gt;"INSUMO",#REF!&lt;&gt;"")</formula>
    </cfRule>
    <cfRule type="expression" dxfId="6" priority="16" stopIfTrue="1">
      <formula>AND(OR(#REF!="COMPOSICAO",#REF!="INSUMO",#REF!&lt;&gt;""),#REF!&lt;&gt;"")</formula>
    </cfRule>
  </conditionalFormatting>
  <conditionalFormatting sqref="C10">
    <cfRule type="expression" dxfId="5" priority="11" stopIfTrue="1">
      <formula>AND(#REF!&lt;&gt;"COMPOSICAO",#REF!&lt;&gt;"INSUMO",#REF!&lt;&gt;"")</formula>
    </cfRule>
    <cfRule type="expression" dxfId="4" priority="12" stopIfTrue="1">
      <formula>AND(OR(#REF!="COMPOSICAO",#REF!="INSUMO",#REF!&lt;&gt;""),#REF!&lt;&gt;"")</formula>
    </cfRule>
  </conditionalFormatting>
  <conditionalFormatting sqref="A38 B39:C39 E39:F39">
    <cfRule type="expression" dxfId="3" priority="7" stopIfTrue="1">
      <formula>AND(#REF!&lt;&gt;"COMPOSICAO",#REF!&lt;&gt;"INSUMO",#REF!&lt;&gt;"")</formula>
    </cfRule>
    <cfRule type="expression" dxfId="2" priority="8" stopIfTrue="1">
      <formula>AND(OR(#REF!="COMPOSICAO",#REF!="INSUMO",#REF!&lt;&gt;""),#REF!&lt;&gt;"")</formula>
    </cfRule>
  </conditionalFormatting>
  <conditionalFormatting sqref="J40">
    <cfRule type="expression" dxfId="1" priority="1" stopIfTrue="1">
      <formula>AND(#REF!&lt;&gt;"COMPOSICAO",#REF!&lt;&gt;"INSUMO",#REF!&lt;&gt;"")</formula>
    </cfRule>
    <cfRule type="expression" dxfId="0" priority="2" stopIfTrue="1">
      <formula>AND(OR(#REF!="COMPOSICAO",#REF!="INSUMO",#REF!&lt;&gt;""),#REF!&lt;&gt;"")</formula>
    </cfRule>
  </conditionalFormatting>
  <pageMargins left="0.511811024" right="0.511811024" top="0.78740157499999996" bottom="0.78740157499999996" header="0.31496062000000002" footer="0.31496062000000002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11</vt:i4>
      </vt:variant>
    </vt:vector>
  </HeadingPairs>
  <TitlesOfParts>
    <vt:vector size="20" baseType="lpstr">
      <vt:lpstr>ALTERAÇÃO</vt:lpstr>
      <vt:lpstr>COMPOSIÇÃO</vt:lpstr>
      <vt:lpstr>MEMORIA </vt:lpstr>
      <vt:lpstr>PLANILHA FINAL</vt:lpstr>
      <vt:lpstr>CRONOGRAMA</vt:lpstr>
      <vt:lpstr>QCI - OBSOLETO</vt:lpstr>
      <vt:lpstr>MEDIÇÃO BM06</vt:lpstr>
      <vt:lpstr>METAS BM05</vt:lpstr>
      <vt:lpstr>COMP-EXCLUI</vt:lpstr>
      <vt:lpstr>ALTERAÇÃO!Area_de_impressao</vt:lpstr>
      <vt:lpstr>'COMP-EXCLUI'!Area_de_impressao</vt:lpstr>
      <vt:lpstr>CRONOGRAMA!Area_de_impressao</vt:lpstr>
      <vt:lpstr>'MEDIÇÃO BM06'!Area_de_impressao</vt:lpstr>
      <vt:lpstr>'MEMORIA '!Area_de_impressao</vt:lpstr>
      <vt:lpstr>'METAS BM05'!Area_de_impressao</vt:lpstr>
      <vt:lpstr>'PLANILHA FINAL'!Area_de_impressao</vt:lpstr>
      <vt:lpstr>'QCI - OBSOLETO'!Area_de_impressao</vt:lpstr>
      <vt:lpstr>ALTERAÇÃO!Titulos_de_impressao</vt:lpstr>
      <vt:lpstr>'MEDIÇÃO BM06'!Titulos_de_impressao</vt:lpstr>
      <vt:lpstr>'MEMORIA 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PC-LEMES01</dc:creator>
  <cp:lastModifiedBy>Colemar Junior</cp:lastModifiedBy>
  <cp:lastPrinted>2020-10-28T13:30:58Z</cp:lastPrinted>
  <dcterms:created xsi:type="dcterms:W3CDTF">2018-06-14T16:43:08Z</dcterms:created>
  <dcterms:modified xsi:type="dcterms:W3CDTF">2020-10-28T14:10:36Z</dcterms:modified>
</cp:coreProperties>
</file>